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vernosp-my.sharepoint.com/personal/vanessa_csilva_sp_gov_br/Documents/Documentos/BI DAS BR/DADOS CEETEPS/"/>
    </mc:Choice>
  </mc:AlternateContent>
  <xr:revisionPtr revIDLastSave="273" documentId="8_{EBF0EA60-62A4-4DB6-90F9-758F821D6D1C}" xr6:coauthVersionLast="46" xr6:coauthVersionMax="47" xr10:uidLastSave="{B9F271CB-BF80-48BB-A17A-4BA64D84C5D4}"/>
  <bookViews>
    <workbookView xWindow="-120" yWindow="-120" windowWidth="29040" windowHeight="15840" tabRatio="907" activeTab="6" xr2:uid="{F87F974A-BCF6-49B9-977B-BF77BEB22663}"/>
  </bookViews>
  <sheets>
    <sheet name="IACM FATEC" sheetId="35" r:id="rId1"/>
    <sheet name="I5-TCC FATEC" sheetId="37" r:id="rId2"/>
    <sheet name="I6 -ARRC FATEC" sheetId="38" r:id="rId3"/>
    <sheet name="I7 - ARE FATEC" sheetId="39" r:id="rId4"/>
    <sheet name="I8 - INOVA FATEC" sheetId="40" r:id="rId5"/>
    <sheet name="IACM ETEC" sheetId="36" r:id="rId6"/>
    <sheet name="I1 - TCC ETEC" sheetId="42" r:id="rId7"/>
    <sheet name="I2 - SARESP MAT." sheetId="44" r:id="rId8"/>
    <sheet name="I2 - SARESP LP" sheetId="45" r:id="rId9"/>
    <sheet name="I3 - INOVA ETEC" sheetId="41" r:id="rId10"/>
    <sheet name="I4 - IDT ETEC" sheetId="43" r:id="rId11"/>
    <sheet name="I9 ADM CENTRAL - ETEC" sheetId="23" r:id="rId12"/>
    <sheet name="I9 ADM CENTRAL - FATEC" sheetId="22" r:id="rId13"/>
    <sheet name="I9- IACM MÉDIO DAS ETEC FATECS" sheetId="29" r:id="rId14"/>
    <sheet name="I10 - ATUALIZAÇÃO DO CURRICULO " sheetId="30" r:id="rId15"/>
    <sheet name="I11 - FORMAÇÃO CONTINUADA" sheetId="31" r:id="rId16"/>
    <sheet name="I12 - CERTIFICAÇÃO E CAPACITAÇÃ" sheetId="32" r:id="rId17"/>
    <sheet name="IACM ADM CENTRAL" sheetId="28" r:id="rId18"/>
  </sheets>
  <definedNames>
    <definedName name="_xlnm._FilterDatabase" localSheetId="2" hidden="1">'I6 -ARRC FATEC'!$A$2:$F$2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2" l="1"/>
  <c r="H3" i="22"/>
  <c r="F3" i="22"/>
  <c r="G3" i="22"/>
  <c r="Q5" i="35"/>
  <c r="P5" i="35"/>
  <c r="M5" i="35"/>
  <c r="J6" i="35"/>
  <c r="J7" i="35"/>
  <c r="J8" i="35"/>
  <c r="J9" i="35"/>
  <c r="J10" i="35"/>
  <c r="J11" i="35"/>
  <c r="J12" i="35"/>
  <c r="J13" i="35"/>
  <c r="J14" i="35"/>
  <c r="J15" i="35"/>
  <c r="J16" i="35"/>
  <c r="J17" i="35"/>
  <c r="J18" i="35"/>
  <c r="J19" i="35"/>
  <c r="J20" i="35"/>
  <c r="J21" i="35"/>
  <c r="J22" i="35"/>
  <c r="J23" i="35"/>
  <c r="J24" i="35"/>
  <c r="J25" i="35"/>
  <c r="J26" i="35"/>
  <c r="J27" i="35"/>
  <c r="J28" i="35"/>
  <c r="J29" i="35"/>
  <c r="J30" i="35"/>
  <c r="J31" i="35"/>
  <c r="J32" i="35"/>
  <c r="J33" i="35"/>
  <c r="J34" i="35"/>
  <c r="J35" i="35"/>
  <c r="J36" i="35"/>
  <c r="J37" i="35"/>
  <c r="J38" i="35"/>
  <c r="J39" i="35"/>
  <c r="J40" i="35"/>
  <c r="J41" i="35"/>
  <c r="J42" i="35"/>
  <c r="J43" i="35"/>
  <c r="J44" i="35"/>
  <c r="J45" i="35"/>
  <c r="J46" i="35"/>
  <c r="J47" i="35"/>
  <c r="J48" i="35"/>
  <c r="J49" i="35"/>
  <c r="J50" i="35"/>
  <c r="J51" i="35"/>
  <c r="J52" i="35"/>
  <c r="J53" i="35"/>
  <c r="J54" i="35"/>
  <c r="J55" i="35"/>
  <c r="J56" i="35"/>
  <c r="J57" i="35"/>
  <c r="J58" i="35"/>
  <c r="J59" i="35"/>
  <c r="J60" i="35"/>
  <c r="J61" i="35"/>
  <c r="J62" i="35"/>
  <c r="J63" i="35"/>
  <c r="J64" i="35"/>
  <c r="J65" i="35"/>
  <c r="J66" i="35"/>
  <c r="J67" i="35"/>
  <c r="J68" i="35"/>
  <c r="J69" i="35"/>
  <c r="J70" i="35"/>
  <c r="J71" i="35"/>
  <c r="J72" i="35"/>
  <c r="J73" i="35"/>
  <c r="J74" i="35"/>
  <c r="J75" i="35"/>
  <c r="J76" i="35"/>
  <c r="J77" i="35"/>
  <c r="J78" i="35"/>
  <c r="J5" i="35"/>
  <c r="G6" i="35"/>
  <c r="G7" i="35"/>
  <c r="G8" i="35"/>
  <c r="G9" i="35"/>
  <c r="G10" i="35"/>
  <c r="G11" i="35"/>
  <c r="G12" i="35"/>
  <c r="G13" i="35"/>
  <c r="G14" i="35"/>
  <c r="G15" i="35"/>
  <c r="G16" i="35"/>
  <c r="G17" i="35"/>
  <c r="G18" i="35"/>
  <c r="G19" i="35"/>
  <c r="G20" i="35"/>
  <c r="G21" i="35"/>
  <c r="G22" i="35"/>
  <c r="G23" i="35"/>
  <c r="G24" i="35"/>
  <c r="G25" i="35"/>
  <c r="G26" i="35"/>
  <c r="G27" i="35"/>
  <c r="G28" i="35"/>
  <c r="G29" i="35"/>
  <c r="G30" i="35"/>
  <c r="G31" i="35"/>
  <c r="G32" i="35"/>
  <c r="G33" i="35"/>
  <c r="G34" i="35"/>
  <c r="G35" i="35"/>
  <c r="G36" i="35"/>
  <c r="G37" i="35"/>
  <c r="G38" i="35"/>
  <c r="G39" i="35"/>
  <c r="G40" i="35"/>
  <c r="G41" i="35"/>
  <c r="G42" i="35"/>
  <c r="G43" i="35"/>
  <c r="G44" i="35"/>
  <c r="G45" i="35"/>
  <c r="G46" i="35"/>
  <c r="G47" i="35"/>
  <c r="G48" i="35"/>
  <c r="G49" i="35"/>
  <c r="G50" i="35"/>
  <c r="G51" i="35"/>
  <c r="G52" i="35"/>
  <c r="G53" i="35"/>
  <c r="G54" i="35"/>
  <c r="G55" i="35"/>
  <c r="G56" i="35"/>
  <c r="G57" i="35"/>
  <c r="G58" i="35"/>
  <c r="G59" i="35"/>
  <c r="G60" i="35"/>
  <c r="G61" i="35"/>
  <c r="G62" i="35"/>
  <c r="G63" i="35"/>
  <c r="G64" i="35"/>
  <c r="G65" i="35"/>
  <c r="G66" i="35"/>
  <c r="G67" i="35"/>
  <c r="G68" i="35"/>
  <c r="G69" i="35"/>
  <c r="G70" i="35"/>
  <c r="G71" i="35"/>
  <c r="G72" i="35"/>
  <c r="G73" i="35"/>
  <c r="G74" i="35"/>
  <c r="G75" i="35"/>
  <c r="G76" i="35"/>
  <c r="G77" i="35"/>
  <c r="G5" i="35"/>
  <c r="G10" i="37"/>
  <c r="T108" i="41"/>
  <c r="AA4" i="28"/>
  <c r="Z10" i="45"/>
  <c r="Z6" i="45"/>
  <c r="Z14" i="45"/>
  <c r="Z13" i="45"/>
  <c r="Z12" i="45"/>
  <c r="Z11" i="45"/>
  <c r="Z9" i="45"/>
  <c r="Z8" i="45"/>
  <c r="Z7" i="45"/>
  <c r="AA7" i="44"/>
  <c r="AA8" i="44"/>
  <c r="AA9" i="44"/>
  <c r="AA10" i="44"/>
  <c r="AA11" i="44"/>
  <c r="AA12" i="44"/>
  <c r="AA13" i="44"/>
  <c r="AA14" i="44"/>
  <c r="AA6" i="44"/>
  <c r="Z14" i="44"/>
  <c r="Z12" i="44"/>
  <c r="Z11" i="44"/>
  <c r="Z10" i="44"/>
  <c r="Z9" i="44"/>
  <c r="Z8" i="44"/>
  <c r="Z7" i="44"/>
  <c r="Z6" i="44"/>
  <c r="Z13" i="44"/>
  <c r="AD15" i="36"/>
  <c r="AD7" i="36"/>
  <c r="AD8" i="36"/>
  <c r="AD9" i="36"/>
  <c r="AD10" i="36"/>
  <c r="AD11" i="36"/>
  <c r="AD12" i="36"/>
  <c r="AD13" i="36"/>
  <c r="AD14" i="36"/>
  <c r="AD6" i="36"/>
  <c r="AC14" i="36"/>
  <c r="AC15" i="36" s="1"/>
  <c r="Z15" i="45" l="1"/>
  <c r="AA12" i="45"/>
  <c r="Z15" i="44"/>
  <c r="AA15" i="44"/>
  <c r="AA8" i="45" l="1"/>
  <c r="AA7" i="45"/>
  <c r="AA9" i="45"/>
  <c r="AA6" i="45"/>
  <c r="AA14" i="45"/>
  <c r="AA11" i="45"/>
  <c r="AA10" i="45"/>
  <c r="AA13" i="45"/>
  <c r="AH4" i="28"/>
  <c r="G11" i="37"/>
  <c r="G12" i="37"/>
  <c r="G13" i="37"/>
  <c r="G14" i="37"/>
  <c r="G15" i="37"/>
  <c r="G16" i="37"/>
  <c r="G17" i="37"/>
  <c r="G18" i="37"/>
  <c r="G19" i="37"/>
  <c r="G20" i="37"/>
  <c r="G21" i="37"/>
  <c r="G22" i="37"/>
  <c r="G23" i="37"/>
  <c r="G24" i="37"/>
  <c r="G25" i="37"/>
  <c r="G26" i="37"/>
  <c r="G27" i="37"/>
  <c r="G28" i="37"/>
  <c r="G29" i="37"/>
  <c r="G30" i="37"/>
  <c r="G31" i="37"/>
  <c r="G32" i="37"/>
  <c r="G33" i="37"/>
  <c r="G34" i="37"/>
  <c r="G35" i="37"/>
  <c r="G36" i="37"/>
  <c r="G37" i="37"/>
  <c r="G38" i="37"/>
  <c r="G39" i="37"/>
  <c r="G40" i="37"/>
  <c r="G41" i="37"/>
  <c r="G42" i="37"/>
  <c r="G43" i="37"/>
  <c r="G44" i="37"/>
  <c r="G45" i="37"/>
  <c r="G46" i="37"/>
  <c r="G47" i="37"/>
  <c r="G48" i="37"/>
  <c r="G49" i="37"/>
  <c r="G50" i="37"/>
  <c r="G51" i="37"/>
  <c r="G52" i="37"/>
  <c r="G53" i="37"/>
  <c r="G54" i="37"/>
  <c r="G55" i="37"/>
  <c r="G56" i="37"/>
  <c r="G57" i="37"/>
  <c r="G58" i="37"/>
  <c r="G59" i="37"/>
  <c r="G60" i="37"/>
  <c r="G61" i="37"/>
  <c r="G62" i="37"/>
  <c r="G63" i="37"/>
  <c r="G64" i="37"/>
  <c r="G65" i="37"/>
  <c r="G66" i="37"/>
  <c r="G67" i="37"/>
  <c r="G68" i="37"/>
  <c r="G69" i="37"/>
  <c r="G70" i="37"/>
  <c r="G71" i="37"/>
  <c r="G72" i="37"/>
  <c r="G73" i="37"/>
  <c r="G74" i="37"/>
  <c r="G75" i="37"/>
  <c r="G76" i="37"/>
  <c r="G77" i="37"/>
  <c r="G78" i="37"/>
  <c r="G79" i="37"/>
  <c r="G80" i="37"/>
  <c r="G81" i="37"/>
  <c r="G82" i="37"/>
  <c r="Q111" i="36"/>
  <c r="L111" i="36"/>
  <c r="T227" i="45"/>
  <c r="R227" i="45"/>
  <c r="K227" i="45"/>
  <c r="L227" i="45" s="1"/>
  <c r="G227" i="45"/>
  <c r="I227" i="45" s="1"/>
  <c r="J227" i="45" s="1"/>
  <c r="T226" i="45"/>
  <c r="R226" i="45"/>
  <c r="G226" i="45"/>
  <c r="M226" i="45" s="1"/>
  <c r="N226" i="45" s="1"/>
  <c r="T225" i="45"/>
  <c r="R225" i="45"/>
  <c r="M225" i="45"/>
  <c r="N225" i="45" s="1"/>
  <c r="G225" i="45"/>
  <c r="O225" i="45" s="1"/>
  <c r="P225" i="45" s="1"/>
  <c r="T224" i="45"/>
  <c r="R224" i="45"/>
  <c r="G224" i="45"/>
  <c r="T223" i="45"/>
  <c r="R223" i="45"/>
  <c r="M223" i="45"/>
  <c r="N223" i="45" s="1"/>
  <c r="I223" i="45"/>
  <c r="J223" i="45" s="1"/>
  <c r="G223" i="45"/>
  <c r="O223" i="45" s="1"/>
  <c r="P223" i="45" s="1"/>
  <c r="T222" i="45"/>
  <c r="R222" i="45"/>
  <c r="G222" i="45"/>
  <c r="M222" i="45" s="1"/>
  <c r="N222" i="45" s="1"/>
  <c r="T221" i="45"/>
  <c r="R221" i="45"/>
  <c r="K221" i="45"/>
  <c r="L221" i="45" s="1"/>
  <c r="G221" i="45"/>
  <c r="I221" i="45" s="1"/>
  <c r="J221" i="45" s="1"/>
  <c r="T220" i="45"/>
  <c r="R220" i="45"/>
  <c r="G220" i="45"/>
  <c r="T219" i="45"/>
  <c r="R219" i="45"/>
  <c r="M219" i="45"/>
  <c r="N219" i="45" s="1"/>
  <c r="K219" i="45"/>
  <c r="L219" i="45" s="1"/>
  <c r="I219" i="45"/>
  <c r="J219" i="45" s="1"/>
  <c r="G219" i="45"/>
  <c r="O219" i="45" s="1"/>
  <c r="P219" i="45" s="1"/>
  <c r="T218" i="45"/>
  <c r="R218" i="45"/>
  <c r="G218" i="45"/>
  <c r="M218" i="45" s="1"/>
  <c r="N218" i="45" s="1"/>
  <c r="T217" i="45"/>
  <c r="R217" i="45"/>
  <c r="M217" i="45"/>
  <c r="N217" i="45" s="1"/>
  <c r="G217" i="45"/>
  <c r="I217" i="45" s="1"/>
  <c r="J217" i="45" s="1"/>
  <c r="T216" i="45"/>
  <c r="R216" i="45"/>
  <c r="G216" i="45"/>
  <c r="T215" i="45"/>
  <c r="R215" i="45"/>
  <c r="M215" i="45"/>
  <c r="N215" i="45" s="1"/>
  <c r="G215" i="45"/>
  <c r="O215" i="45" s="1"/>
  <c r="P215" i="45" s="1"/>
  <c r="T213" i="45"/>
  <c r="R213" i="45"/>
  <c r="G213" i="45"/>
  <c r="M213" i="45" s="1"/>
  <c r="N213" i="45" s="1"/>
  <c r="T212" i="45"/>
  <c r="R212" i="45"/>
  <c r="G212" i="45"/>
  <c r="I212" i="45" s="1"/>
  <c r="J212" i="45" s="1"/>
  <c r="T211" i="45"/>
  <c r="R211" i="45"/>
  <c r="G211" i="45"/>
  <c r="T210" i="45"/>
  <c r="R210" i="45"/>
  <c r="M210" i="45"/>
  <c r="N210" i="45" s="1"/>
  <c r="K210" i="45"/>
  <c r="L210" i="45" s="1"/>
  <c r="G210" i="45"/>
  <c r="O210" i="45" s="1"/>
  <c r="P210" i="45" s="1"/>
  <c r="T209" i="45"/>
  <c r="R209" i="45"/>
  <c r="N209" i="45"/>
  <c r="G209" i="45"/>
  <c r="M209" i="45" s="1"/>
  <c r="T208" i="45"/>
  <c r="R208" i="45"/>
  <c r="O208" i="45"/>
  <c r="P208" i="45" s="1"/>
  <c r="G208" i="45"/>
  <c r="I208" i="45" s="1"/>
  <c r="J208" i="45" s="1"/>
  <c r="T207" i="45"/>
  <c r="R207" i="45"/>
  <c r="G207" i="45"/>
  <c r="T206" i="45"/>
  <c r="R206" i="45"/>
  <c r="G206" i="45"/>
  <c r="O206" i="45" s="1"/>
  <c r="P206" i="45" s="1"/>
  <c r="T205" i="45"/>
  <c r="R205" i="45"/>
  <c r="G205" i="45"/>
  <c r="T204" i="45"/>
  <c r="R204" i="45"/>
  <c r="M204" i="45"/>
  <c r="N204" i="45" s="1"/>
  <c r="K204" i="45"/>
  <c r="L204" i="45" s="1"/>
  <c r="G204" i="45"/>
  <c r="I204" i="45" s="1"/>
  <c r="J204" i="45" s="1"/>
  <c r="T203" i="45"/>
  <c r="R203" i="45"/>
  <c r="G203" i="45"/>
  <c r="T202" i="45"/>
  <c r="R202" i="45"/>
  <c r="M202" i="45"/>
  <c r="N202" i="45" s="1"/>
  <c r="K202" i="45"/>
  <c r="L202" i="45" s="1"/>
  <c r="I202" i="45"/>
  <c r="J202" i="45" s="1"/>
  <c r="G202" i="45"/>
  <c r="O202" i="45" s="1"/>
  <c r="P202" i="45" s="1"/>
  <c r="T201" i="45"/>
  <c r="R201" i="45"/>
  <c r="G201" i="45"/>
  <c r="T200" i="45"/>
  <c r="R200" i="45"/>
  <c r="O200" i="45"/>
  <c r="P200" i="45" s="1"/>
  <c r="G200" i="45"/>
  <c r="I200" i="45" s="1"/>
  <c r="J200" i="45" s="1"/>
  <c r="T199" i="45"/>
  <c r="R199" i="45"/>
  <c r="G199" i="45"/>
  <c r="T198" i="45"/>
  <c r="R198" i="45"/>
  <c r="M198" i="45"/>
  <c r="N198" i="45" s="1"/>
  <c r="K198" i="45"/>
  <c r="L198" i="45" s="1"/>
  <c r="I198" i="45"/>
  <c r="J198" i="45" s="1"/>
  <c r="Q198" i="45" s="1"/>
  <c r="S198" i="45" s="1"/>
  <c r="V198" i="45" s="1"/>
  <c r="W198" i="45" s="1"/>
  <c r="G198" i="45"/>
  <c r="O198" i="45" s="1"/>
  <c r="P198" i="45" s="1"/>
  <c r="T197" i="45"/>
  <c r="R197" i="45"/>
  <c r="G197" i="45"/>
  <c r="T196" i="45"/>
  <c r="R196" i="45"/>
  <c r="O196" i="45"/>
  <c r="P196" i="45" s="1"/>
  <c r="M196" i="45"/>
  <c r="N196" i="45" s="1"/>
  <c r="G196" i="45"/>
  <c r="I196" i="45" s="1"/>
  <c r="J196" i="45" s="1"/>
  <c r="T195" i="45"/>
  <c r="R195" i="45"/>
  <c r="G195" i="45"/>
  <c r="T194" i="45"/>
  <c r="R194" i="45"/>
  <c r="G194" i="45"/>
  <c r="O194" i="45" s="1"/>
  <c r="P194" i="45" s="1"/>
  <c r="T193" i="45"/>
  <c r="R193" i="45"/>
  <c r="G193" i="45"/>
  <c r="T192" i="45"/>
  <c r="R192" i="45"/>
  <c r="O192" i="45"/>
  <c r="P192" i="45" s="1"/>
  <c r="M192" i="45"/>
  <c r="N192" i="45" s="1"/>
  <c r="K192" i="45"/>
  <c r="L192" i="45" s="1"/>
  <c r="G192" i="45"/>
  <c r="I192" i="45" s="1"/>
  <c r="J192" i="45" s="1"/>
  <c r="Q192" i="45" s="1"/>
  <c r="S192" i="45" s="1"/>
  <c r="V192" i="45" s="1"/>
  <c r="W192" i="45" s="1"/>
  <c r="T191" i="45"/>
  <c r="R191" i="45"/>
  <c r="G191" i="45"/>
  <c r="T190" i="45"/>
  <c r="R190" i="45"/>
  <c r="K190" i="45"/>
  <c r="L190" i="45" s="1"/>
  <c r="G190" i="45"/>
  <c r="O190" i="45" s="1"/>
  <c r="P190" i="45" s="1"/>
  <c r="T189" i="45"/>
  <c r="R189" i="45"/>
  <c r="G189" i="45"/>
  <c r="T188" i="45"/>
  <c r="R188" i="45"/>
  <c r="G188" i="45"/>
  <c r="T187" i="45"/>
  <c r="R187" i="45"/>
  <c r="G187" i="45"/>
  <c r="K187" i="45" s="1"/>
  <c r="L187" i="45" s="1"/>
  <c r="T186" i="45"/>
  <c r="R186" i="45"/>
  <c r="G186" i="45"/>
  <c r="O186" i="45" s="1"/>
  <c r="P186" i="45" s="1"/>
  <c r="T185" i="45"/>
  <c r="R185" i="45"/>
  <c r="G185" i="45"/>
  <c r="K185" i="45" s="1"/>
  <c r="L185" i="45" s="1"/>
  <c r="T184" i="45"/>
  <c r="R184" i="45"/>
  <c r="O184" i="45"/>
  <c r="P184" i="45" s="1"/>
  <c r="M184" i="45"/>
  <c r="N184" i="45" s="1"/>
  <c r="K184" i="45"/>
  <c r="L184" i="45" s="1"/>
  <c r="Q184" i="45" s="1"/>
  <c r="S184" i="45" s="1"/>
  <c r="V184" i="45" s="1"/>
  <c r="W184" i="45" s="1"/>
  <c r="G184" i="45"/>
  <c r="I184" i="45" s="1"/>
  <c r="J184" i="45" s="1"/>
  <c r="T183" i="45"/>
  <c r="R183" i="45"/>
  <c r="G183" i="45"/>
  <c r="T182" i="45"/>
  <c r="R182" i="45"/>
  <c r="K182" i="45"/>
  <c r="L182" i="45" s="1"/>
  <c r="I182" i="45"/>
  <c r="J182" i="45" s="1"/>
  <c r="G182" i="45"/>
  <c r="O182" i="45" s="1"/>
  <c r="P182" i="45" s="1"/>
  <c r="T181" i="45"/>
  <c r="R181" i="45"/>
  <c r="G181" i="45"/>
  <c r="T180" i="45"/>
  <c r="R180" i="45"/>
  <c r="O180" i="45"/>
  <c r="P180" i="45" s="1"/>
  <c r="G180" i="45"/>
  <c r="I180" i="45" s="1"/>
  <c r="J180" i="45" s="1"/>
  <c r="T179" i="45"/>
  <c r="R179" i="45"/>
  <c r="G179" i="45"/>
  <c r="T178" i="45"/>
  <c r="R178" i="45"/>
  <c r="G178" i="45"/>
  <c r="O178" i="45" s="1"/>
  <c r="P178" i="45" s="1"/>
  <c r="T177" i="45"/>
  <c r="R177" i="45"/>
  <c r="G177" i="45"/>
  <c r="K177" i="45" s="1"/>
  <c r="L177" i="45" s="1"/>
  <c r="T176" i="45"/>
  <c r="R176" i="45"/>
  <c r="G176" i="45"/>
  <c r="I176" i="45" s="1"/>
  <c r="J176" i="45" s="1"/>
  <c r="T175" i="45"/>
  <c r="R175" i="45"/>
  <c r="K175" i="45"/>
  <c r="L175" i="45" s="1"/>
  <c r="G175" i="45"/>
  <c r="T174" i="45"/>
  <c r="R174" i="45"/>
  <c r="G174" i="45"/>
  <c r="T173" i="45"/>
  <c r="R173" i="45"/>
  <c r="G173" i="45"/>
  <c r="T172" i="45"/>
  <c r="R172" i="45"/>
  <c r="K172" i="45"/>
  <c r="L172" i="45" s="1"/>
  <c r="G172" i="45"/>
  <c r="I172" i="45" s="1"/>
  <c r="J172" i="45" s="1"/>
  <c r="T171" i="45"/>
  <c r="R171" i="45"/>
  <c r="K171" i="45"/>
  <c r="L171" i="45" s="1"/>
  <c r="G171" i="45"/>
  <c r="T170" i="45"/>
  <c r="R170" i="45"/>
  <c r="G170" i="45"/>
  <c r="O170" i="45" s="1"/>
  <c r="P170" i="45" s="1"/>
  <c r="T169" i="45"/>
  <c r="R169" i="45"/>
  <c r="K169" i="45"/>
  <c r="L169" i="45" s="1"/>
  <c r="I169" i="45"/>
  <c r="J169" i="45" s="1"/>
  <c r="G169" i="45"/>
  <c r="T168" i="45"/>
  <c r="R168" i="45"/>
  <c r="K168" i="45"/>
  <c r="L168" i="45" s="1"/>
  <c r="G168" i="45"/>
  <c r="T167" i="45"/>
  <c r="R167" i="45"/>
  <c r="K167" i="45"/>
  <c r="L167" i="45" s="1"/>
  <c r="G167" i="45"/>
  <c r="T166" i="45"/>
  <c r="R166" i="45"/>
  <c r="G166" i="45"/>
  <c r="O166" i="45" s="1"/>
  <c r="P166" i="45" s="1"/>
  <c r="T165" i="45"/>
  <c r="R165" i="45"/>
  <c r="O165" i="45"/>
  <c r="P165" i="45" s="1"/>
  <c r="I165" i="45"/>
  <c r="J165" i="45" s="1"/>
  <c r="G165" i="45"/>
  <c r="M165" i="45" s="1"/>
  <c r="N165" i="45" s="1"/>
  <c r="T164" i="45"/>
  <c r="R164" i="45"/>
  <c r="O164" i="45"/>
  <c r="P164" i="45" s="1"/>
  <c r="K164" i="45"/>
  <c r="L164" i="45" s="1"/>
  <c r="I164" i="45"/>
  <c r="J164" i="45" s="1"/>
  <c r="G164" i="45"/>
  <c r="M164" i="45" s="1"/>
  <c r="N164" i="45" s="1"/>
  <c r="T163" i="45"/>
  <c r="R163" i="45"/>
  <c r="K163" i="45"/>
  <c r="L163" i="45" s="1"/>
  <c r="J163" i="45"/>
  <c r="I163" i="45"/>
  <c r="G163" i="45"/>
  <c r="M163" i="45" s="1"/>
  <c r="N163" i="45" s="1"/>
  <c r="T162" i="45"/>
  <c r="R162" i="45"/>
  <c r="K162" i="45"/>
  <c r="L162" i="45" s="1"/>
  <c r="G162" i="45"/>
  <c r="O162" i="45" s="1"/>
  <c r="P162" i="45" s="1"/>
  <c r="T161" i="45"/>
  <c r="R161" i="45"/>
  <c r="G161" i="45"/>
  <c r="T160" i="45"/>
  <c r="R160" i="45"/>
  <c r="G160" i="45"/>
  <c r="T159" i="45"/>
  <c r="R159" i="45"/>
  <c r="G159" i="45"/>
  <c r="I159" i="45" s="1"/>
  <c r="J159" i="45" s="1"/>
  <c r="T158" i="45"/>
  <c r="R158" i="45"/>
  <c r="G158" i="45"/>
  <c r="T157" i="45"/>
  <c r="R157" i="45"/>
  <c r="M157" i="45"/>
  <c r="N157" i="45" s="1"/>
  <c r="G157" i="45"/>
  <c r="O157" i="45" s="1"/>
  <c r="P157" i="45" s="1"/>
  <c r="T156" i="45"/>
  <c r="R156" i="45"/>
  <c r="I156" i="45"/>
  <c r="J156" i="45" s="1"/>
  <c r="G156" i="45"/>
  <c r="O156" i="45" s="1"/>
  <c r="P156" i="45" s="1"/>
  <c r="T155" i="45"/>
  <c r="R155" i="45"/>
  <c r="G155" i="45"/>
  <c r="T154" i="45"/>
  <c r="R154" i="45"/>
  <c r="G154" i="45"/>
  <c r="T153" i="45"/>
  <c r="R153" i="45"/>
  <c r="O153" i="45"/>
  <c r="P153" i="45" s="1"/>
  <c r="K153" i="45"/>
  <c r="L153" i="45" s="1"/>
  <c r="I153" i="45"/>
  <c r="J153" i="45" s="1"/>
  <c r="G153" i="45"/>
  <c r="M153" i="45" s="1"/>
  <c r="N153" i="45" s="1"/>
  <c r="T152" i="45"/>
  <c r="R152" i="45"/>
  <c r="P152" i="45"/>
  <c r="I152" i="45"/>
  <c r="J152" i="45" s="1"/>
  <c r="G152" i="45"/>
  <c r="O152" i="45" s="1"/>
  <c r="T151" i="45"/>
  <c r="R151" i="45"/>
  <c r="G151" i="45"/>
  <c r="I151" i="45" s="1"/>
  <c r="J151" i="45" s="1"/>
  <c r="T150" i="45"/>
  <c r="R150" i="45"/>
  <c r="G150" i="45"/>
  <c r="T149" i="45"/>
  <c r="R149" i="45"/>
  <c r="K149" i="45"/>
  <c r="L149" i="45" s="1"/>
  <c r="G149" i="45"/>
  <c r="O149" i="45" s="1"/>
  <c r="P149" i="45" s="1"/>
  <c r="T148" i="45"/>
  <c r="R148" i="45"/>
  <c r="G148" i="45"/>
  <c r="O148" i="45" s="1"/>
  <c r="P148" i="45" s="1"/>
  <c r="T147" i="45"/>
  <c r="R147" i="45"/>
  <c r="G147" i="45"/>
  <c r="T146" i="45"/>
  <c r="R146" i="45"/>
  <c r="G146" i="45"/>
  <c r="T145" i="45"/>
  <c r="R145" i="45"/>
  <c r="M145" i="45"/>
  <c r="N145" i="45" s="1"/>
  <c r="I145" i="45"/>
  <c r="J145" i="45" s="1"/>
  <c r="G145" i="45"/>
  <c r="K145" i="45" s="1"/>
  <c r="L145" i="45" s="1"/>
  <c r="T144" i="45"/>
  <c r="R144" i="45"/>
  <c r="P144" i="45"/>
  <c r="I144" i="45"/>
  <c r="J144" i="45" s="1"/>
  <c r="G144" i="45"/>
  <c r="O144" i="45" s="1"/>
  <c r="T143" i="45"/>
  <c r="R143" i="45"/>
  <c r="I143" i="45"/>
  <c r="J143" i="45" s="1"/>
  <c r="G143" i="45"/>
  <c r="T142" i="45"/>
  <c r="R142" i="45"/>
  <c r="G142" i="45"/>
  <c r="T141" i="45"/>
  <c r="R141" i="45"/>
  <c r="O141" i="45"/>
  <c r="P141" i="45" s="1"/>
  <c r="N141" i="45"/>
  <c r="M141" i="45"/>
  <c r="K141" i="45"/>
  <c r="L141" i="45" s="1"/>
  <c r="I141" i="45"/>
  <c r="J141" i="45" s="1"/>
  <c r="G141" i="45"/>
  <c r="T140" i="45"/>
  <c r="R140" i="45"/>
  <c r="I140" i="45"/>
  <c r="J140" i="45" s="1"/>
  <c r="G140" i="45"/>
  <c r="O140" i="45" s="1"/>
  <c r="P140" i="45" s="1"/>
  <c r="T139" i="45"/>
  <c r="R139" i="45"/>
  <c r="G139" i="45"/>
  <c r="T138" i="45"/>
  <c r="R138" i="45"/>
  <c r="G138" i="45"/>
  <c r="T137" i="45"/>
  <c r="R137" i="45"/>
  <c r="G137" i="45"/>
  <c r="O137" i="45" s="1"/>
  <c r="P137" i="45" s="1"/>
  <c r="T136" i="45"/>
  <c r="R136" i="45"/>
  <c r="G136" i="45"/>
  <c r="O136" i="45" s="1"/>
  <c r="P136" i="45" s="1"/>
  <c r="T135" i="45"/>
  <c r="R135" i="45"/>
  <c r="I135" i="45"/>
  <c r="J135" i="45" s="1"/>
  <c r="G135" i="45"/>
  <c r="T134" i="45"/>
  <c r="R134" i="45"/>
  <c r="G134" i="45"/>
  <c r="T133" i="45"/>
  <c r="R133" i="45"/>
  <c r="M133" i="45"/>
  <c r="N133" i="45" s="1"/>
  <c r="I133" i="45"/>
  <c r="J133" i="45" s="1"/>
  <c r="G133" i="45"/>
  <c r="K133" i="45" s="1"/>
  <c r="L133" i="45" s="1"/>
  <c r="T132" i="45"/>
  <c r="R132" i="45"/>
  <c r="I132" i="45"/>
  <c r="J132" i="45" s="1"/>
  <c r="G132" i="45"/>
  <c r="O132" i="45" s="1"/>
  <c r="P132" i="45" s="1"/>
  <c r="T131" i="45"/>
  <c r="R131" i="45"/>
  <c r="G131" i="45"/>
  <c r="T130" i="45"/>
  <c r="R130" i="45"/>
  <c r="G130" i="45"/>
  <c r="K130" i="45" s="1"/>
  <c r="L130" i="45" s="1"/>
  <c r="T129" i="45"/>
  <c r="R129" i="45"/>
  <c r="K129" i="45"/>
  <c r="L129" i="45" s="1"/>
  <c r="G129" i="45"/>
  <c r="O129" i="45" s="1"/>
  <c r="P129" i="45" s="1"/>
  <c r="T128" i="45"/>
  <c r="R128" i="45"/>
  <c r="G128" i="45"/>
  <c r="O128" i="45" s="1"/>
  <c r="P128" i="45" s="1"/>
  <c r="T127" i="45"/>
  <c r="R127" i="45"/>
  <c r="G127" i="45"/>
  <c r="I127" i="45" s="1"/>
  <c r="J127" i="45" s="1"/>
  <c r="T126" i="45"/>
  <c r="R126" i="45"/>
  <c r="G126" i="45"/>
  <c r="T125" i="45"/>
  <c r="R125" i="45"/>
  <c r="G125" i="45"/>
  <c r="O125" i="45" s="1"/>
  <c r="P125" i="45" s="1"/>
  <c r="T124" i="45"/>
  <c r="R124" i="45"/>
  <c r="I124" i="45"/>
  <c r="J124" i="45" s="1"/>
  <c r="G124" i="45"/>
  <c r="O124" i="45" s="1"/>
  <c r="P124" i="45" s="1"/>
  <c r="T123" i="45"/>
  <c r="R123" i="45"/>
  <c r="G123" i="45"/>
  <c r="I123" i="45" s="1"/>
  <c r="J123" i="45" s="1"/>
  <c r="T122" i="45"/>
  <c r="R122" i="45"/>
  <c r="K122" i="45"/>
  <c r="L122" i="45" s="1"/>
  <c r="G122" i="45"/>
  <c r="O122" i="45" s="1"/>
  <c r="P122" i="45" s="1"/>
  <c r="T121" i="45"/>
  <c r="R121" i="45"/>
  <c r="O121" i="45"/>
  <c r="P121" i="45" s="1"/>
  <c r="K121" i="45"/>
  <c r="L121" i="45" s="1"/>
  <c r="J121" i="45"/>
  <c r="I121" i="45"/>
  <c r="G121" i="45"/>
  <c r="M121" i="45" s="1"/>
  <c r="N121" i="45" s="1"/>
  <c r="T120" i="45"/>
  <c r="R120" i="45"/>
  <c r="I120" i="45"/>
  <c r="J120" i="45" s="1"/>
  <c r="G120" i="45"/>
  <c r="O120" i="45" s="1"/>
  <c r="P120" i="45" s="1"/>
  <c r="T119" i="45"/>
  <c r="R119" i="45"/>
  <c r="G119" i="45"/>
  <c r="K119" i="45" s="1"/>
  <c r="L119" i="45" s="1"/>
  <c r="T118" i="45"/>
  <c r="R118" i="45"/>
  <c r="G118" i="45"/>
  <c r="T117" i="45"/>
  <c r="R117" i="45"/>
  <c r="O117" i="45"/>
  <c r="P117" i="45" s="1"/>
  <c r="N117" i="45"/>
  <c r="M117" i="45"/>
  <c r="K117" i="45"/>
  <c r="L117" i="45" s="1"/>
  <c r="G117" i="45"/>
  <c r="I117" i="45" s="1"/>
  <c r="J117" i="45" s="1"/>
  <c r="T116" i="45"/>
  <c r="R116" i="45"/>
  <c r="I116" i="45"/>
  <c r="J116" i="45" s="1"/>
  <c r="G116" i="45"/>
  <c r="T115" i="45"/>
  <c r="R115" i="45"/>
  <c r="G115" i="45"/>
  <c r="K115" i="45" s="1"/>
  <c r="L115" i="45" s="1"/>
  <c r="T114" i="45"/>
  <c r="R114" i="45"/>
  <c r="K114" i="45"/>
  <c r="L114" i="45" s="1"/>
  <c r="J114" i="45"/>
  <c r="G114" i="45"/>
  <c r="I114" i="45" s="1"/>
  <c r="T113" i="45"/>
  <c r="R113" i="45"/>
  <c r="P113" i="45"/>
  <c r="O113" i="45"/>
  <c r="K113" i="45"/>
  <c r="L113" i="45" s="1"/>
  <c r="G113" i="45"/>
  <c r="I113" i="45" s="1"/>
  <c r="J113" i="45" s="1"/>
  <c r="T112" i="45"/>
  <c r="R112" i="45"/>
  <c r="G112" i="45"/>
  <c r="T111" i="45"/>
  <c r="R111" i="45"/>
  <c r="G111" i="45"/>
  <c r="T110" i="45"/>
  <c r="R110" i="45"/>
  <c r="M110" i="45"/>
  <c r="N110" i="45" s="1"/>
  <c r="G110" i="45"/>
  <c r="I110" i="45" s="1"/>
  <c r="J110" i="45" s="1"/>
  <c r="T109" i="45"/>
  <c r="R109" i="45"/>
  <c r="P109" i="45"/>
  <c r="O109" i="45"/>
  <c r="M109" i="45"/>
  <c r="N109" i="45" s="1"/>
  <c r="K109" i="45"/>
  <c r="L109" i="45" s="1"/>
  <c r="G109" i="45"/>
  <c r="I109" i="45" s="1"/>
  <c r="J109" i="45" s="1"/>
  <c r="T108" i="45"/>
  <c r="R108" i="45"/>
  <c r="G108" i="45"/>
  <c r="T107" i="45"/>
  <c r="R107" i="45"/>
  <c r="G107" i="45"/>
  <c r="T106" i="45"/>
  <c r="R106" i="45"/>
  <c r="G106" i="45"/>
  <c r="T105" i="45"/>
  <c r="R105" i="45"/>
  <c r="O105" i="45"/>
  <c r="P105" i="45" s="1"/>
  <c r="M105" i="45"/>
  <c r="N105" i="45" s="1"/>
  <c r="K105" i="45"/>
  <c r="L105" i="45" s="1"/>
  <c r="G105" i="45"/>
  <c r="I105" i="45" s="1"/>
  <c r="J105" i="45" s="1"/>
  <c r="T104" i="45"/>
  <c r="R104" i="45"/>
  <c r="G104" i="45"/>
  <c r="T103" i="45"/>
  <c r="R103" i="45"/>
  <c r="P103" i="45"/>
  <c r="I103" i="45"/>
  <c r="J103" i="45" s="1"/>
  <c r="G103" i="45"/>
  <c r="O103" i="45" s="1"/>
  <c r="T102" i="45"/>
  <c r="R102" i="45"/>
  <c r="O102" i="45"/>
  <c r="P102" i="45" s="1"/>
  <c r="J102" i="45"/>
  <c r="G102" i="45"/>
  <c r="I102" i="45" s="1"/>
  <c r="T101" i="45"/>
  <c r="R101" i="45"/>
  <c r="O101" i="45"/>
  <c r="P101" i="45" s="1"/>
  <c r="J101" i="45"/>
  <c r="G101" i="45"/>
  <c r="I101" i="45" s="1"/>
  <c r="T100" i="45"/>
  <c r="R100" i="45"/>
  <c r="G100" i="45"/>
  <c r="I100" i="45" s="1"/>
  <c r="J100" i="45" s="1"/>
  <c r="T99" i="45"/>
  <c r="R99" i="45"/>
  <c r="G99" i="45"/>
  <c r="T98" i="45"/>
  <c r="R98" i="45"/>
  <c r="G98" i="45"/>
  <c r="T97" i="45"/>
  <c r="R97" i="45"/>
  <c r="O97" i="45"/>
  <c r="P97" i="45" s="1"/>
  <c r="M97" i="45"/>
  <c r="N97" i="45" s="1"/>
  <c r="K97" i="45"/>
  <c r="L97" i="45" s="1"/>
  <c r="G97" i="45"/>
  <c r="I97" i="45" s="1"/>
  <c r="J97" i="45" s="1"/>
  <c r="T96" i="45"/>
  <c r="R96" i="45"/>
  <c r="M96" i="45"/>
  <c r="N96" i="45" s="1"/>
  <c r="I96" i="45"/>
  <c r="J96" i="45" s="1"/>
  <c r="G96" i="45"/>
  <c r="T95" i="45"/>
  <c r="R95" i="45"/>
  <c r="K95" i="45"/>
  <c r="L95" i="45" s="1"/>
  <c r="G95" i="45"/>
  <c r="I95" i="45" s="1"/>
  <c r="J95" i="45" s="1"/>
  <c r="T94" i="45"/>
  <c r="R94" i="45"/>
  <c r="N94" i="45"/>
  <c r="M94" i="45"/>
  <c r="I94" i="45"/>
  <c r="J94" i="45" s="1"/>
  <c r="G94" i="45"/>
  <c r="K94" i="45" s="1"/>
  <c r="L94" i="45" s="1"/>
  <c r="T93" i="45"/>
  <c r="R93" i="45"/>
  <c r="G93" i="45"/>
  <c r="T92" i="45"/>
  <c r="R92" i="45"/>
  <c r="K92" i="45"/>
  <c r="L92" i="45" s="1"/>
  <c r="G92" i="45"/>
  <c r="I92" i="45" s="1"/>
  <c r="J92" i="45" s="1"/>
  <c r="T91" i="45"/>
  <c r="R91" i="45"/>
  <c r="I91" i="45"/>
  <c r="J91" i="45" s="1"/>
  <c r="G91" i="45"/>
  <c r="K91" i="45" s="1"/>
  <c r="L91" i="45" s="1"/>
  <c r="T90" i="45"/>
  <c r="R90" i="45"/>
  <c r="G90" i="45"/>
  <c r="K90" i="45" s="1"/>
  <c r="L90" i="45" s="1"/>
  <c r="T89" i="45"/>
  <c r="R89" i="45"/>
  <c r="G89" i="45"/>
  <c r="T88" i="45"/>
  <c r="R88" i="45"/>
  <c r="G88" i="45"/>
  <c r="K88" i="45" s="1"/>
  <c r="L88" i="45" s="1"/>
  <c r="T87" i="45"/>
  <c r="R87" i="45"/>
  <c r="M87" i="45"/>
  <c r="N87" i="45" s="1"/>
  <c r="I87" i="45"/>
  <c r="J87" i="45" s="1"/>
  <c r="G87" i="45"/>
  <c r="K87" i="45" s="1"/>
  <c r="L87" i="45" s="1"/>
  <c r="T86" i="45"/>
  <c r="R86" i="45"/>
  <c r="G86" i="45"/>
  <c r="K86" i="45" s="1"/>
  <c r="L86" i="45" s="1"/>
  <c r="T85" i="45"/>
  <c r="R85" i="45"/>
  <c r="G85" i="45"/>
  <c r="T84" i="45"/>
  <c r="R84" i="45"/>
  <c r="G84" i="45"/>
  <c r="K84" i="45" s="1"/>
  <c r="L84" i="45" s="1"/>
  <c r="T83" i="45"/>
  <c r="R83" i="45"/>
  <c r="K83" i="45"/>
  <c r="L83" i="45" s="1"/>
  <c r="G83" i="45"/>
  <c r="I83" i="45" s="1"/>
  <c r="J83" i="45" s="1"/>
  <c r="T82" i="45"/>
  <c r="R82" i="45"/>
  <c r="N82" i="45"/>
  <c r="M82" i="45"/>
  <c r="I82" i="45"/>
  <c r="J82" i="45" s="1"/>
  <c r="G82" i="45"/>
  <c r="K82" i="45" s="1"/>
  <c r="L82" i="45" s="1"/>
  <c r="T81" i="45"/>
  <c r="R81" i="45"/>
  <c r="G81" i="45"/>
  <c r="T80" i="45"/>
  <c r="R80" i="45"/>
  <c r="G80" i="45"/>
  <c r="I80" i="45" s="1"/>
  <c r="J80" i="45" s="1"/>
  <c r="T79" i="45"/>
  <c r="R79" i="45"/>
  <c r="K79" i="45"/>
  <c r="L79" i="45" s="1"/>
  <c r="G79" i="45"/>
  <c r="I79" i="45" s="1"/>
  <c r="J79" i="45" s="1"/>
  <c r="T78" i="45"/>
  <c r="R78" i="45"/>
  <c r="N78" i="45"/>
  <c r="M78" i="45"/>
  <c r="I78" i="45"/>
  <c r="J78" i="45" s="1"/>
  <c r="G78" i="45"/>
  <c r="K78" i="45" s="1"/>
  <c r="L78" i="45" s="1"/>
  <c r="T77" i="45"/>
  <c r="R77" i="45"/>
  <c r="G77" i="45"/>
  <c r="T76" i="45"/>
  <c r="R76" i="45"/>
  <c r="G76" i="45"/>
  <c r="T75" i="45"/>
  <c r="R75" i="45"/>
  <c r="K75" i="45"/>
  <c r="L75" i="45" s="1"/>
  <c r="G75" i="45"/>
  <c r="I75" i="45" s="1"/>
  <c r="J75" i="45" s="1"/>
  <c r="T74" i="45"/>
  <c r="R74" i="45"/>
  <c r="G74" i="45"/>
  <c r="K74" i="45" s="1"/>
  <c r="L74" i="45" s="1"/>
  <c r="T73" i="45"/>
  <c r="R73" i="45"/>
  <c r="G73" i="45"/>
  <c r="T72" i="45"/>
  <c r="R72" i="45"/>
  <c r="G72" i="45"/>
  <c r="K72" i="45" s="1"/>
  <c r="L72" i="45" s="1"/>
  <c r="T71" i="45"/>
  <c r="R71" i="45"/>
  <c r="M71" i="45"/>
  <c r="N71" i="45" s="1"/>
  <c r="I71" i="45"/>
  <c r="J71" i="45" s="1"/>
  <c r="G71" i="45"/>
  <c r="K71" i="45" s="1"/>
  <c r="L71" i="45" s="1"/>
  <c r="T70" i="45"/>
  <c r="R70" i="45"/>
  <c r="G70" i="45"/>
  <c r="K70" i="45" s="1"/>
  <c r="L70" i="45" s="1"/>
  <c r="T69" i="45"/>
  <c r="R69" i="45"/>
  <c r="G69" i="45"/>
  <c r="T68" i="45"/>
  <c r="R68" i="45"/>
  <c r="G68" i="45"/>
  <c r="I68" i="45" s="1"/>
  <c r="J68" i="45" s="1"/>
  <c r="T67" i="45"/>
  <c r="R67" i="45"/>
  <c r="M67" i="45"/>
  <c r="N67" i="45" s="1"/>
  <c r="I67" i="45"/>
  <c r="J67" i="45" s="1"/>
  <c r="G67" i="45"/>
  <c r="K67" i="45" s="1"/>
  <c r="L67" i="45" s="1"/>
  <c r="T66" i="45"/>
  <c r="R66" i="45"/>
  <c r="O66" i="45"/>
  <c r="P66" i="45" s="1"/>
  <c r="G66" i="45"/>
  <c r="K66" i="45" s="1"/>
  <c r="L66" i="45" s="1"/>
  <c r="T65" i="45"/>
  <c r="R65" i="45"/>
  <c r="G65" i="45"/>
  <c r="T64" i="45"/>
  <c r="R64" i="45"/>
  <c r="G64" i="45"/>
  <c r="T63" i="45"/>
  <c r="R63" i="45"/>
  <c r="G63" i="45"/>
  <c r="O63" i="45" s="1"/>
  <c r="P63" i="45" s="1"/>
  <c r="T62" i="45"/>
  <c r="R62" i="45"/>
  <c r="O62" i="45"/>
  <c r="P62" i="45" s="1"/>
  <c r="G62" i="45"/>
  <c r="K62" i="45" s="1"/>
  <c r="L62" i="45" s="1"/>
  <c r="T61" i="45"/>
  <c r="R61" i="45"/>
  <c r="G61" i="45"/>
  <c r="T60" i="45"/>
  <c r="R60" i="45"/>
  <c r="G60" i="45"/>
  <c r="I60" i="45" s="1"/>
  <c r="J60" i="45" s="1"/>
  <c r="T59" i="45"/>
  <c r="R59" i="45"/>
  <c r="O59" i="45"/>
  <c r="P59" i="45" s="1"/>
  <c r="I59" i="45"/>
  <c r="J59" i="45" s="1"/>
  <c r="G59" i="45"/>
  <c r="M59" i="45" s="1"/>
  <c r="N59" i="45" s="1"/>
  <c r="T58" i="45"/>
  <c r="R58" i="45"/>
  <c r="O58" i="45"/>
  <c r="P58" i="45" s="1"/>
  <c r="G58" i="45"/>
  <c r="K58" i="45" s="1"/>
  <c r="L58" i="45" s="1"/>
  <c r="T57" i="45"/>
  <c r="R57" i="45"/>
  <c r="G57" i="45"/>
  <c r="T56" i="45"/>
  <c r="R56" i="45"/>
  <c r="K56" i="45"/>
  <c r="L56" i="45" s="1"/>
  <c r="G56" i="45"/>
  <c r="I56" i="45" s="1"/>
  <c r="J56" i="45" s="1"/>
  <c r="T55" i="45"/>
  <c r="R55" i="45"/>
  <c r="O55" i="45"/>
  <c r="P55" i="45" s="1"/>
  <c r="M55" i="45"/>
  <c r="N55" i="45" s="1"/>
  <c r="K55" i="45"/>
  <c r="L55" i="45" s="1"/>
  <c r="I55" i="45"/>
  <c r="J55" i="45" s="1"/>
  <c r="G55" i="45"/>
  <c r="T54" i="45"/>
  <c r="R54" i="45"/>
  <c r="O54" i="45"/>
  <c r="P54" i="45" s="1"/>
  <c r="G54" i="45"/>
  <c r="K54" i="45" s="1"/>
  <c r="L54" i="45" s="1"/>
  <c r="T53" i="45"/>
  <c r="R53" i="45"/>
  <c r="G53" i="45"/>
  <c r="M53" i="45" s="1"/>
  <c r="N53" i="45" s="1"/>
  <c r="T52" i="45"/>
  <c r="R52" i="45"/>
  <c r="I52" i="45"/>
  <c r="J52" i="45" s="1"/>
  <c r="G52" i="45"/>
  <c r="T51" i="45"/>
  <c r="R51" i="45"/>
  <c r="G51" i="45"/>
  <c r="O51" i="45" s="1"/>
  <c r="P51" i="45" s="1"/>
  <c r="T50" i="45"/>
  <c r="R50" i="45"/>
  <c r="P50" i="45"/>
  <c r="O50" i="45"/>
  <c r="G50" i="45"/>
  <c r="K50" i="45" s="1"/>
  <c r="L50" i="45" s="1"/>
  <c r="T49" i="45"/>
  <c r="R49" i="45"/>
  <c r="G49" i="45"/>
  <c r="K49" i="45" s="1"/>
  <c r="L49" i="45" s="1"/>
  <c r="T48" i="45"/>
  <c r="R48" i="45"/>
  <c r="G48" i="45"/>
  <c r="K48" i="45" s="1"/>
  <c r="L48" i="45" s="1"/>
  <c r="T47" i="45"/>
  <c r="R47" i="45"/>
  <c r="I47" i="45"/>
  <c r="J47" i="45" s="1"/>
  <c r="G47" i="45"/>
  <c r="O47" i="45" s="1"/>
  <c r="P47" i="45" s="1"/>
  <c r="T46" i="45"/>
  <c r="R46" i="45"/>
  <c r="G46" i="45"/>
  <c r="T45" i="45"/>
  <c r="R45" i="45"/>
  <c r="O45" i="45"/>
  <c r="P45" i="45" s="1"/>
  <c r="M45" i="45"/>
  <c r="N45" i="45" s="1"/>
  <c r="K45" i="45"/>
  <c r="L45" i="45" s="1"/>
  <c r="G45" i="45"/>
  <c r="I45" i="45" s="1"/>
  <c r="J45" i="45" s="1"/>
  <c r="T44" i="45"/>
  <c r="R44" i="45"/>
  <c r="G44" i="45"/>
  <c r="M44" i="45" s="1"/>
  <c r="N44" i="45" s="1"/>
  <c r="T43" i="45"/>
  <c r="R43" i="45"/>
  <c r="M43" i="45"/>
  <c r="N43" i="45" s="1"/>
  <c r="G43" i="45"/>
  <c r="K43" i="45" s="1"/>
  <c r="L43" i="45" s="1"/>
  <c r="T42" i="45"/>
  <c r="R42" i="45"/>
  <c r="M42" i="45"/>
  <c r="N42" i="45" s="1"/>
  <c r="G42" i="45"/>
  <c r="K42" i="45" s="1"/>
  <c r="L42" i="45" s="1"/>
  <c r="T41" i="45"/>
  <c r="R41" i="45"/>
  <c r="I41" i="45"/>
  <c r="J41" i="45" s="1"/>
  <c r="G41" i="45"/>
  <c r="O41" i="45" s="1"/>
  <c r="P41" i="45" s="1"/>
  <c r="T40" i="45"/>
  <c r="R40" i="45"/>
  <c r="K40" i="45"/>
  <c r="L40" i="45" s="1"/>
  <c r="G40" i="45"/>
  <c r="M40" i="45" s="1"/>
  <c r="N40" i="45" s="1"/>
  <c r="T39" i="45"/>
  <c r="R39" i="45"/>
  <c r="O39" i="45"/>
  <c r="P39" i="45" s="1"/>
  <c r="M39" i="45"/>
  <c r="N39" i="45" s="1"/>
  <c r="K39" i="45"/>
  <c r="L39" i="45" s="1"/>
  <c r="J39" i="45"/>
  <c r="I39" i="45"/>
  <c r="G39" i="45"/>
  <c r="T38" i="45"/>
  <c r="R38" i="45"/>
  <c r="O38" i="45"/>
  <c r="P38" i="45" s="1"/>
  <c r="G38" i="45"/>
  <c r="K38" i="45" s="1"/>
  <c r="L38" i="45" s="1"/>
  <c r="T37" i="45"/>
  <c r="R37" i="45"/>
  <c r="G37" i="45"/>
  <c r="K37" i="45" s="1"/>
  <c r="L37" i="45" s="1"/>
  <c r="T36" i="45"/>
  <c r="R36" i="45"/>
  <c r="I36" i="45"/>
  <c r="J36" i="45" s="1"/>
  <c r="G36" i="45"/>
  <c r="M36" i="45" s="1"/>
  <c r="N36" i="45" s="1"/>
  <c r="T35" i="45"/>
  <c r="R35" i="45"/>
  <c r="K35" i="45"/>
  <c r="L35" i="45" s="1"/>
  <c r="I35" i="45"/>
  <c r="J35" i="45" s="1"/>
  <c r="G35" i="45"/>
  <c r="M35" i="45" s="1"/>
  <c r="N35" i="45" s="1"/>
  <c r="T34" i="45"/>
  <c r="R34" i="45"/>
  <c r="M34" i="45"/>
  <c r="N34" i="45" s="1"/>
  <c r="G34" i="45"/>
  <c r="K34" i="45" s="1"/>
  <c r="L34" i="45" s="1"/>
  <c r="T33" i="45"/>
  <c r="R33" i="45"/>
  <c r="M33" i="45"/>
  <c r="N33" i="45" s="1"/>
  <c r="G33" i="45"/>
  <c r="I33" i="45" s="1"/>
  <c r="J33" i="45" s="1"/>
  <c r="T32" i="45"/>
  <c r="R32" i="45"/>
  <c r="G32" i="45"/>
  <c r="M32" i="45" s="1"/>
  <c r="N32" i="45" s="1"/>
  <c r="T31" i="45"/>
  <c r="R31" i="45"/>
  <c r="G31" i="45"/>
  <c r="O31" i="45" s="1"/>
  <c r="P31" i="45" s="1"/>
  <c r="T30" i="45"/>
  <c r="R30" i="45"/>
  <c r="G30" i="45"/>
  <c r="K30" i="45" s="1"/>
  <c r="L30" i="45" s="1"/>
  <c r="T29" i="45"/>
  <c r="R29" i="45"/>
  <c r="K29" i="45"/>
  <c r="L29" i="45" s="1"/>
  <c r="G29" i="45"/>
  <c r="O29" i="45" s="1"/>
  <c r="P29" i="45" s="1"/>
  <c r="T28" i="45"/>
  <c r="R28" i="45"/>
  <c r="O28" i="45"/>
  <c r="P28" i="45" s="1"/>
  <c r="N28" i="45"/>
  <c r="G28" i="45"/>
  <c r="M28" i="45" s="1"/>
  <c r="T27" i="45"/>
  <c r="R27" i="45"/>
  <c r="O27" i="45"/>
  <c r="P27" i="45" s="1"/>
  <c r="G27" i="45"/>
  <c r="K27" i="45" s="1"/>
  <c r="L27" i="45" s="1"/>
  <c r="T26" i="45"/>
  <c r="R26" i="45"/>
  <c r="O26" i="45"/>
  <c r="P26" i="45" s="1"/>
  <c r="K26" i="45"/>
  <c r="L26" i="45" s="1"/>
  <c r="G26" i="45"/>
  <c r="M26" i="45" s="1"/>
  <c r="N26" i="45" s="1"/>
  <c r="T25" i="45"/>
  <c r="R25" i="45"/>
  <c r="G25" i="45"/>
  <c r="O25" i="45" s="1"/>
  <c r="P25" i="45" s="1"/>
  <c r="T24" i="45"/>
  <c r="R24" i="45"/>
  <c r="G24" i="45"/>
  <c r="M24" i="45" s="1"/>
  <c r="N24" i="45" s="1"/>
  <c r="T23" i="45"/>
  <c r="R23" i="45"/>
  <c r="G23" i="45"/>
  <c r="O23" i="45" s="1"/>
  <c r="P23" i="45" s="1"/>
  <c r="T22" i="45"/>
  <c r="R22" i="45"/>
  <c r="M22" i="45"/>
  <c r="N22" i="45" s="1"/>
  <c r="G22" i="45"/>
  <c r="K22" i="45" s="1"/>
  <c r="L22" i="45" s="1"/>
  <c r="T21" i="45"/>
  <c r="R21" i="45"/>
  <c r="O21" i="45"/>
  <c r="P21" i="45" s="1"/>
  <c r="M21" i="45"/>
  <c r="N21" i="45" s="1"/>
  <c r="K21" i="45"/>
  <c r="L21" i="45" s="1"/>
  <c r="G21" i="45"/>
  <c r="I21" i="45" s="1"/>
  <c r="J21" i="45" s="1"/>
  <c r="T20" i="45"/>
  <c r="R20" i="45"/>
  <c r="O20" i="45"/>
  <c r="P20" i="45" s="1"/>
  <c r="G20" i="45"/>
  <c r="M20" i="45" s="1"/>
  <c r="N20" i="45" s="1"/>
  <c r="T19" i="45"/>
  <c r="R19" i="45"/>
  <c r="O19" i="45"/>
  <c r="P19" i="45" s="1"/>
  <c r="K19" i="45"/>
  <c r="L19" i="45" s="1"/>
  <c r="I19" i="45"/>
  <c r="J19" i="45" s="1"/>
  <c r="G19" i="45"/>
  <c r="M19" i="45" s="1"/>
  <c r="N19" i="45" s="1"/>
  <c r="T18" i="45"/>
  <c r="R18" i="45"/>
  <c r="G18" i="45"/>
  <c r="O18" i="45" s="1"/>
  <c r="P18" i="45" s="1"/>
  <c r="T17" i="45"/>
  <c r="R17" i="45"/>
  <c r="G17" i="45"/>
  <c r="O17" i="45" s="1"/>
  <c r="P17" i="45" s="1"/>
  <c r="T16" i="45"/>
  <c r="R16" i="45"/>
  <c r="O16" i="45"/>
  <c r="P16" i="45" s="1"/>
  <c r="K16" i="45"/>
  <c r="L16" i="45" s="1"/>
  <c r="I16" i="45"/>
  <c r="J16" i="45" s="1"/>
  <c r="G16" i="45"/>
  <c r="M16" i="45" s="1"/>
  <c r="N16" i="45" s="1"/>
  <c r="T15" i="45"/>
  <c r="R15" i="45"/>
  <c r="M15" i="45"/>
  <c r="N15" i="45" s="1"/>
  <c r="G15" i="45"/>
  <c r="I15" i="45" s="1"/>
  <c r="J15" i="45" s="1"/>
  <c r="T14" i="45"/>
  <c r="R14" i="45"/>
  <c r="O14" i="45"/>
  <c r="P14" i="45" s="1"/>
  <c r="G14" i="45"/>
  <c r="K14" i="45" s="1"/>
  <c r="L14" i="45" s="1"/>
  <c r="T13" i="45"/>
  <c r="R13" i="45"/>
  <c r="G13" i="45"/>
  <c r="O13" i="45" s="1"/>
  <c r="P13" i="45" s="1"/>
  <c r="T12" i="45"/>
  <c r="R12" i="45"/>
  <c r="K12" i="45"/>
  <c r="L12" i="45" s="1"/>
  <c r="G12" i="45"/>
  <c r="O12" i="45" s="1"/>
  <c r="P12" i="45" s="1"/>
  <c r="T11" i="45"/>
  <c r="R11" i="45"/>
  <c r="G11" i="45"/>
  <c r="I11" i="45" s="1"/>
  <c r="J11" i="45" s="1"/>
  <c r="T10" i="45"/>
  <c r="R10" i="45"/>
  <c r="G10" i="45"/>
  <c r="K10" i="45" s="1"/>
  <c r="L10" i="45" s="1"/>
  <c r="T9" i="45"/>
  <c r="R9" i="45"/>
  <c r="G9" i="45"/>
  <c r="O9" i="45" s="1"/>
  <c r="P9" i="45" s="1"/>
  <c r="T8" i="45"/>
  <c r="R8" i="45"/>
  <c r="G8" i="45"/>
  <c r="O8" i="45" s="1"/>
  <c r="P8" i="45" s="1"/>
  <c r="T7" i="45"/>
  <c r="R7" i="45"/>
  <c r="G7" i="45"/>
  <c r="I7" i="45" s="1"/>
  <c r="J7" i="45" s="1"/>
  <c r="T6" i="45"/>
  <c r="R6" i="45"/>
  <c r="O6" i="45"/>
  <c r="P6" i="45" s="1"/>
  <c r="M6" i="45"/>
  <c r="N6" i="45" s="1"/>
  <c r="G6" i="45"/>
  <c r="K6" i="45" s="1"/>
  <c r="L6" i="45" s="1"/>
  <c r="T5" i="45"/>
  <c r="R5" i="45"/>
  <c r="G5" i="45"/>
  <c r="O5" i="45" s="1"/>
  <c r="P5" i="45" s="1"/>
  <c r="T227" i="44"/>
  <c r="R227" i="44"/>
  <c r="O227" i="44"/>
  <c r="P227" i="44" s="1"/>
  <c r="G227" i="44"/>
  <c r="M227" i="44" s="1"/>
  <c r="N227" i="44" s="1"/>
  <c r="T226" i="44"/>
  <c r="R226" i="44"/>
  <c r="G226" i="44"/>
  <c r="T225" i="44"/>
  <c r="R225" i="44"/>
  <c r="G225" i="44"/>
  <c r="I225" i="44" s="1"/>
  <c r="J225" i="44" s="1"/>
  <c r="T224" i="44"/>
  <c r="R224" i="44"/>
  <c r="G224" i="44"/>
  <c r="M224" i="44" s="1"/>
  <c r="N224" i="44" s="1"/>
  <c r="T223" i="44"/>
  <c r="R223" i="44"/>
  <c r="G223" i="44"/>
  <c r="I223" i="44" s="1"/>
  <c r="J223" i="44" s="1"/>
  <c r="T222" i="44"/>
  <c r="R222" i="44"/>
  <c r="G222" i="44"/>
  <c r="O222" i="44" s="1"/>
  <c r="P222" i="44" s="1"/>
  <c r="T221" i="44"/>
  <c r="R221" i="44"/>
  <c r="G221" i="44"/>
  <c r="O221" i="44" s="1"/>
  <c r="P221" i="44" s="1"/>
  <c r="T220" i="44"/>
  <c r="R220" i="44"/>
  <c r="G220" i="44"/>
  <c r="M220" i="44" s="1"/>
  <c r="N220" i="44" s="1"/>
  <c r="T219" i="44"/>
  <c r="R219" i="44"/>
  <c r="G219" i="44"/>
  <c r="T218" i="44"/>
  <c r="R218" i="44"/>
  <c r="O218" i="44"/>
  <c r="P218" i="44" s="1"/>
  <c r="G218" i="44"/>
  <c r="M218" i="44" s="1"/>
  <c r="N218" i="44" s="1"/>
  <c r="T217" i="44"/>
  <c r="R217" i="44"/>
  <c r="G217" i="44"/>
  <c r="O217" i="44" s="1"/>
  <c r="P217" i="44" s="1"/>
  <c r="T216" i="44"/>
  <c r="R216" i="44"/>
  <c r="G216" i="44"/>
  <c r="I216" i="44" s="1"/>
  <c r="J216" i="44" s="1"/>
  <c r="T215" i="44"/>
  <c r="R215" i="44"/>
  <c r="G215" i="44"/>
  <c r="M215" i="44" s="1"/>
  <c r="N215" i="44" s="1"/>
  <c r="T213" i="44"/>
  <c r="R213" i="44"/>
  <c r="G213" i="44"/>
  <c r="T212" i="44"/>
  <c r="R212" i="44"/>
  <c r="G212" i="44"/>
  <c r="O212" i="44" s="1"/>
  <c r="P212" i="44" s="1"/>
  <c r="T211" i="44"/>
  <c r="R211" i="44"/>
  <c r="I211" i="44"/>
  <c r="J211" i="44" s="1"/>
  <c r="G211" i="44"/>
  <c r="M211" i="44" s="1"/>
  <c r="N211" i="44" s="1"/>
  <c r="T210" i="44"/>
  <c r="R210" i="44"/>
  <c r="G210" i="44"/>
  <c r="I210" i="44" s="1"/>
  <c r="J210" i="44" s="1"/>
  <c r="T209" i="44"/>
  <c r="R209" i="44"/>
  <c r="G209" i="44"/>
  <c r="O209" i="44" s="1"/>
  <c r="P209" i="44" s="1"/>
  <c r="T208" i="44"/>
  <c r="R208" i="44"/>
  <c r="I208" i="44"/>
  <c r="J208" i="44" s="1"/>
  <c r="G208" i="44"/>
  <c r="O208" i="44" s="1"/>
  <c r="P208" i="44" s="1"/>
  <c r="T207" i="44"/>
  <c r="R207" i="44"/>
  <c r="O207" i="44"/>
  <c r="P207" i="44" s="1"/>
  <c r="K207" i="44"/>
  <c r="L207" i="44" s="1"/>
  <c r="G207" i="44"/>
  <c r="I207" i="44" s="1"/>
  <c r="J207" i="44" s="1"/>
  <c r="T206" i="44"/>
  <c r="R206" i="44"/>
  <c r="G206" i="44"/>
  <c r="T205" i="44"/>
  <c r="R205" i="44"/>
  <c r="G205" i="44"/>
  <c r="K205" i="44" s="1"/>
  <c r="L205" i="44" s="1"/>
  <c r="T204" i="44"/>
  <c r="R204" i="44"/>
  <c r="G204" i="44"/>
  <c r="O204" i="44" s="1"/>
  <c r="P204" i="44" s="1"/>
  <c r="T203" i="44"/>
  <c r="R203" i="44"/>
  <c r="G203" i="44"/>
  <c r="I203" i="44" s="1"/>
  <c r="J203" i="44" s="1"/>
  <c r="T202" i="44"/>
  <c r="R202" i="44"/>
  <c r="G202" i="44"/>
  <c r="K202" i="44" s="1"/>
  <c r="L202" i="44" s="1"/>
  <c r="T201" i="44"/>
  <c r="R201" i="44"/>
  <c r="G201" i="44"/>
  <c r="T200" i="44"/>
  <c r="R200" i="44"/>
  <c r="O200" i="44"/>
  <c r="P200" i="44" s="1"/>
  <c r="I200" i="44"/>
  <c r="J200" i="44" s="1"/>
  <c r="G200" i="44"/>
  <c r="K200" i="44" s="1"/>
  <c r="L200" i="44" s="1"/>
  <c r="T199" i="44"/>
  <c r="R199" i="44"/>
  <c r="G199" i="44"/>
  <c r="M199" i="44" s="1"/>
  <c r="N199" i="44" s="1"/>
  <c r="T198" i="44"/>
  <c r="R198" i="44"/>
  <c r="K198" i="44"/>
  <c r="L198" i="44" s="1"/>
  <c r="G198" i="44"/>
  <c r="I198" i="44" s="1"/>
  <c r="J198" i="44" s="1"/>
  <c r="T197" i="44"/>
  <c r="R197" i="44"/>
  <c r="G197" i="44"/>
  <c r="O197" i="44" s="1"/>
  <c r="P197" i="44" s="1"/>
  <c r="T196" i="44"/>
  <c r="R196" i="44"/>
  <c r="G196" i="44"/>
  <c r="O196" i="44" s="1"/>
  <c r="P196" i="44" s="1"/>
  <c r="T195" i="44"/>
  <c r="R195" i="44"/>
  <c r="G195" i="44"/>
  <c r="O195" i="44" s="1"/>
  <c r="P195" i="44" s="1"/>
  <c r="T194" i="44"/>
  <c r="R194" i="44"/>
  <c r="G194" i="44"/>
  <c r="T193" i="44"/>
  <c r="R193" i="44"/>
  <c r="G193" i="44"/>
  <c r="K193" i="44" s="1"/>
  <c r="L193" i="44" s="1"/>
  <c r="T192" i="44"/>
  <c r="R192" i="44"/>
  <c r="G192" i="44"/>
  <c r="O192" i="44" s="1"/>
  <c r="P192" i="44" s="1"/>
  <c r="T191" i="44"/>
  <c r="R191" i="44"/>
  <c r="G191" i="44"/>
  <c r="I191" i="44" s="1"/>
  <c r="J191" i="44" s="1"/>
  <c r="T190" i="44"/>
  <c r="R190" i="44"/>
  <c r="O190" i="44"/>
  <c r="P190" i="44" s="1"/>
  <c r="G190" i="44"/>
  <c r="K190" i="44" s="1"/>
  <c r="L190" i="44" s="1"/>
  <c r="T189" i="44"/>
  <c r="R189" i="44"/>
  <c r="G189" i="44"/>
  <c r="I189" i="44" s="1"/>
  <c r="J189" i="44" s="1"/>
  <c r="T188" i="44"/>
  <c r="R188" i="44"/>
  <c r="G188" i="44"/>
  <c r="K188" i="44" s="1"/>
  <c r="L188" i="44" s="1"/>
  <c r="T187" i="44"/>
  <c r="R187" i="44"/>
  <c r="G187" i="44"/>
  <c r="M187" i="44" s="1"/>
  <c r="N187" i="44" s="1"/>
  <c r="T186" i="44"/>
  <c r="R186" i="44"/>
  <c r="K186" i="44"/>
  <c r="L186" i="44" s="1"/>
  <c r="G186" i="44"/>
  <c r="I186" i="44" s="1"/>
  <c r="J186" i="44" s="1"/>
  <c r="T185" i="44"/>
  <c r="R185" i="44"/>
  <c r="G185" i="44"/>
  <c r="O185" i="44" s="1"/>
  <c r="P185" i="44" s="1"/>
  <c r="T184" i="44"/>
  <c r="R184" i="44"/>
  <c r="M184" i="44"/>
  <c r="N184" i="44" s="1"/>
  <c r="G184" i="44"/>
  <c r="O184" i="44" s="1"/>
  <c r="P184" i="44" s="1"/>
  <c r="T183" i="44"/>
  <c r="R183" i="44"/>
  <c r="G183" i="44"/>
  <c r="I183" i="44" s="1"/>
  <c r="J183" i="44" s="1"/>
  <c r="T182" i="44"/>
  <c r="R182" i="44"/>
  <c r="G182" i="44"/>
  <c r="T181" i="44"/>
  <c r="R181" i="44"/>
  <c r="G181" i="44"/>
  <c r="K181" i="44" s="1"/>
  <c r="L181" i="44" s="1"/>
  <c r="T180" i="44"/>
  <c r="R180" i="44"/>
  <c r="G180" i="44"/>
  <c r="O180" i="44" s="1"/>
  <c r="P180" i="44" s="1"/>
  <c r="T179" i="44"/>
  <c r="R179" i="44"/>
  <c r="G179" i="44"/>
  <c r="I179" i="44" s="1"/>
  <c r="J179" i="44" s="1"/>
  <c r="T178" i="44"/>
  <c r="R178" i="44"/>
  <c r="O178" i="44"/>
  <c r="P178" i="44" s="1"/>
  <c r="G178" i="44"/>
  <c r="K178" i="44" s="1"/>
  <c r="L178" i="44" s="1"/>
  <c r="T177" i="44"/>
  <c r="R177" i="44"/>
  <c r="I177" i="44"/>
  <c r="J177" i="44" s="1"/>
  <c r="G177" i="44"/>
  <c r="T176" i="44"/>
  <c r="R176" i="44"/>
  <c r="G176" i="44"/>
  <c r="I176" i="44" s="1"/>
  <c r="J176" i="44" s="1"/>
  <c r="T175" i="44"/>
  <c r="R175" i="44"/>
  <c r="O175" i="44"/>
  <c r="P175" i="44" s="1"/>
  <c r="G175" i="44"/>
  <c r="M175" i="44" s="1"/>
  <c r="N175" i="44" s="1"/>
  <c r="T174" i="44"/>
  <c r="R174" i="44"/>
  <c r="G174" i="44"/>
  <c r="T173" i="44"/>
  <c r="R173" i="44"/>
  <c r="M173" i="44"/>
  <c r="N173" i="44" s="1"/>
  <c r="G173" i="44"/>
  <c r="T172" i="44"/>
  <c r="R172" i="44"/>
  <c r="G172" i="44"/>
  <c r="O172" i="44" s="1"/>
  <c r="P172" i="44" s="1"/>
  <c r="T171" i="44"/>
  <c r="R171" i="44"/>
  <c r="K171" i="44"/>
  <c r="L171" i="44" s="1"/>
  <c r="G171" i="44"/>
  <c r="M171" i="44" s="1"/>
  <c r="N171" i="44" s="1"/>
  <c r="T170" i="44"/>
  <c r="R170" i="44"/>
  <c r="G170" i="44"/>
  <c r="T169" i="44"/>
  <c r="R169" i="44"/>
  <c r="O169" i="44"/>
  <c r="P169" i="44" s="1"/>
  <c r="M169" i="44"/>
  <c r="N169" i="44" s="1"/>
  <c r="G169" i="44"/>
  <c r="K169" i="44" s="1"/>
  <c r="L169" i="44" s="1"/>
  <c r="T168" i="44"/>
  <c r="R168" i="44"/>
  <c r="O168" i="44"/>
  <c r="P168" i="44" s="1"/>
  <c r="I168" i="44"/>
  <c r="J168" i="44" s="1"/>
  <c r="G168" i="44"/>
  <c r="T167" i="44"/>
  <c r="R167" i="44"/>
  <c r="G167" i="44"/>
  <c r="I167" i="44" s="1"/>
  <c r="J167" i="44" s="1"/>
  <c r="T166" i="44"/>
  <c r="R166" i="44"/>
  <c r="G166" i="44"/>
  <c r="O166" i="44" s="1"/>
  <c r="P166" i="44" s="1"/>
  <c r="T165" i="44"/>
  <c r="R165" i="44"/>
  <c r="G165" i="44"/>
  <c r="O165" i="44" s="1"/>
  <c r="P165" i="44" s="1"/>
  <c r="T164" i="44"/>
  <c r="R164" i="44"/>
  <c r="G164" i="44"/>
  <c r="I164" i="44" s="1"/>
  <c r="J164" i="44" s="1"/>
  <c r="T163" i="44"/>
  <c r="R163" i="44"/>
  <c r="G163" i="44"/>
  <c r="O163" i="44" s="1"/>
  <c r="P163" i="44" s="1"/>
  <c r="T162" i="44"/>
  <c r="R162" i="44"/>
  <c r="G162" i="44"/>
  <c r="M162" i="44" s="1"/>
  <c r="N162" i="44" s="1"/>
  <c r="T161" i="44"/>
  <c r="R161" i="44"/>
  <c r="G161" i="44"/>
  <c r="O161" i="44" s="1"/>
  <c r="P161" i="44" s="1"/>
  <c r="T160" i="44"/>
  <c r="R160" i="44"/>
  <c r="M160" i="44"/>
  <c r="N160" i="44" s="1"/>
  <c r="I160" i="44"/>
  <c r="J160" i="44" s="1"/>
  <c r="G160" i="44"/>
  <c r="O160" i="44" s="1"/>
  <c r="P160" i="44" s="1"/>
  <c r="T159" i="44"/>
  <c r="R159" i="44"/>
  <c r="K159" i="44"/>
  <c r="L159" i="44" s="1"/>
  <c r="G159" i="44"/>
  <c r="I159" i="44" s="1"/>
  <c r="J159" i="44" s="1"/>
  <c r="T158" i="44"/>
  <c r="R158" i="44"/>
  <c r="I158" i="44"/>
  <c r="J158" i="44" s="1"/>
  <c r="G158" i="44"/>
  <c r="T157" i="44"/>
  <c r="R157" i="44"/>
  <c r="I157" i="44"/>
  <c r="J157" i="44" s="1"/>
  <c r="G157" i="44"/>
  <c r="K157" i="44" s="1"/>
  <c r="L157" i="44" s="1"/>
  <c r="T156" i="44"/>
  <c r="R156" i="44"/>
  <c r="G156" i="44"/>
  <c r="K156" i="44" s="1"/>
  <c r="L156" i="44" s="1"/>
  <c r="T155" i="44"/>
  <c r="R155" i="44"/>
  <c r="G155" i="44"/>
  <c r="O155" i="44" s="1"/>
  <c r="P155" i="44" s="1"/>
  <c r="T154" i="44"/>
  <c r="R154" i="44"/>
  <c r="G154" i="44"/>
  <c r="I154" i="44" s="1"/>
  <c r="J154" i="44" s="1"/>
  <c r="T153" i="44"/>
  <c r="R153" i="44"/>
  <c r="G153" i="44"/>
  <c r="K153" i="44" s="1"/>
  <c r="L153" i="44" s="1"/>
  <c r="T152" i="44"/>
  <c r="R152" i="44"/>
  <c r="G152" i="44"/>
  <c r="T151" i="44"/>
  <c r="R151" i="44"/>
  <c r="G151" i="44"/>
  <c r="T150" i="44"/>
  <c r="R150" i="44"/>
  <c r="G150" i="44"/>
  <c r="O150" i="44" s="1"/>
  <c r="P150" i="44" s="1"/>
  <c r="T149" i="44"/>
  <c r="R149" i="44"/>
  <c r="G149" i="44"/>
  <c r="K149" i="44" s="1"/>
  <c r="L149" i="44" s="1"/>
  <c r="T148" i="44"/>
  <c r="R148" i="44"/>
  <c r="G148" i="44"/>
  <c r="M148" i="44" s="1"/>
  <c r="N148" i="44" s="1"/>
  <c r="T147" i="44"/>
  <c r="R147" i="44"/>
  <c r="G147" i="44"/>
  <c r="T146" i="44"/>
  <c r="R146" i="44"/>
  <c r="G146" i="44"/>
  <c r="K146" i="44" s="1"/>
  <c r="L146" i="44" s="1"/>
  <c r="T145" i="44"/>
  <c r="R145" i="44"/>
  <c r="G145" i="44"/>
  <c r="T144" i="44"/>
  <c r="R144" i="44"/>
  <c r="G144" i="44"/>
  <c r="I144" i="44" s="1"/>
  <c r="J144" i="44" s="1"/>
  <c r="T143" i="44"/>
  <c r="R143" i="44"/>
  <c r="G143" i="44"/>
  <c r="K143" i="44" s="1"/>
  <c r="L143" i="44" s="1"/>
  <c r="T142" i="44"/>
  <c r="R142" i="44"/>
  <c r="G142" i="44"/>
  <c r="T141" i="44"/>
  <c r="R141" i="44"/>
  <c r="G141" i="44"/>
  <c r="K141" i="44" s="1"/>
  <c r="L141" i="44" s="1"/>
  <c r="T140" i="44"/>
  <c r="R140" i="44"/>
  <c r="G140" i="44"/>
  <c r="I140" i="44" s="1"/>
  <c r="J140" i="44" s="1"/>
  <c r="T139" i="44"/>
  <c r="R139" i="44"/>
  <c r="K139" i="44"/>
  <c r="L139" i="44" s="1"/>
  <c r="G139" i="44"/>
  <c r="T138" i="44"/>
  <c r="R138" i="44"/>
  <c r="G138" i="44"/>
  <c r="O138" i="44" s="1"/>
  <c r="P138" i="44" s="1"/>
  <c r="T137" i="44"/>
  <c r="R137" i="44"/>
  <c r="G137" i="44"/>
  <c r="O137" i="44" s="1"/>
  <c r="P137" i="44" s="1"/>
  <c r="T136" i="44"/>
  <c r="R136" i="44"/>
  <c r="O136" i="44"/>
  <c r="P136" i="44" s="1"/>
  <c r="N136" i="44"/>
  <c r="G136" i="44"/>
  <c r="M136" i="44" s="1"/>
  <c r="T135" i="44"/>
  <c r="R135" i="44"/>
  <c r="G135" i="44"/>
  <c r="T134" i="44"/>
  <c r="R134" i="44"/>
  <c r="G134" i="44"/>
  <c r="K134" i="44" s="1"/>
  <c r="L134" i="44" s="1"/>
  <c r="T133" i="44"/>
  <c r="R133" i="44"/>
  <c r="G133" i="44"/>
  <c r="T132" i="44"/>
  <c r="R132" i="44"/>
  <c r="G132" i="44"/>
  <c r="I132" i="44" s="1"/>
  <c r="J132" i="44" s="1"/>
  <c r="T131" i="44"/>
  <c r="R131" i="44"/>
  <c r="G131" i="44"/>
  <c r="M131" i="44" s="1"/>
  <c r="N131" i="44" s="1"/>
  <c r="T130" i="44"/>
  <c r="R130" i="44"/>
  <c r="G130" i="44"/>
  <c r="K130" i="44" s="1"/>
  <c r="L130" i="44" s="1"/>
  <c r="T129" i="44"/>
  <c r="R129" i="44"/>
  <c r="O129" i="44"/>
  <c r="P129" i="44" s="1"/>
  <c r="M129" i="44"/>
  <c r="N129" i="44" s="1"/>
  <c r="G129" i="44"/>
  <c r="K129" i="44" s="1"/>
  <c r="L129" i="44" s="1"/>
  <c r="T128" i="44"/>
  <c r="R128" i="44"/>
  <c r="G128" i="44"/>
  <c r="T127" i="44"/>
  <c r="R127" i="44"/>
  <c r="M127" i="44"/>
  <c r="N127" i="44" s="1"/>
  <c r="G127" i="44"/>
  <c r="K127" i="44" s="1"/>
  <c r="L127" i="44" s="1"/>
  <c r="T126" i="44"/>
  <c r="R126" i="44"/>
  <c r="G126" i="44"/>
  <c r="O126" i="44" s="1"/>
  <c r="P126" i="44" s="1"/>
  <c r="T125" i="44"/>
  <c r="R125" i="44"/>
  <c r="O125" i="44"/>
  <c r="P125" i="44" s="1"/>
  <c r="M125" i="44"/>
  <c r="N125" i="44" s="1"/>
  <c r="G125" i="44"/>
  <c r="K125" i="44" s="1"/>
  <c r="L125" i="44" s="1"/>
  <c r="T124" i="44"/>
  <c r="R124" i="44"/>
  <c r="G124" i="44"/>
  <c r="M124" i="44" s="1"/>
  <c r="N124" i="44" s="1"/>
  <c r="T123" i="44"/>
  <c r="R123" i="44"/>
  <c r="G123" i="44"/>
  <c r="I123" i="44" s="1"/>
  <c r="J123" i="44" s="1"/>
  <c r="T122" i="44"/>
  <c r="R122" i="44"/>
  <c r="O122" i="44"/>
  <c r="P122" i="44" s="1"/>
  <c r="M122" i="44"/>
  <c r="N122" i="44" s="1"/>
  <c r="G122" i="44"/>
  <c r="K122" i="44" s="1"/>
  <c r="L122" i="44" s="1"/>
  <c r="T121" i="44"/>
  <c r="R121" i="44"/>
  <c r="G121" i="44"/>
  <c r="I121" i="44" s="1"/>
  <c r="J121" i="44" s="1"/>
  <c r="T120" i="44"/>
  <c r="R120" i="44"/>
  <c r="M120" i="44"/>
  <c r="N120" i="44" s="1"/>
  <c r="K120" i="44"/>
  <c r="L120" i="44" s="1"/>
  <c r="J120" i="44"/>
  <c r="G120" i="44"/>
  <c r="I120" i="44" s="1"/>
  <c r="T119" i="44"/>
  <c r="R119" i="44"/>
  <c r="O119" i="44"/>
  <c r="P119" i="44" s="1"/>
  <c r="M119" i="44"/>
  <c r="N119" i="44" s="1"/>
  <c r="K119" i="44"/>
  <c r="L119" i="44" s="1"/>
  <c r="G119" i="44"/>
  <c r="I119" i="44" s="1"/>
  <c r="J119" i="44" s="1"/>
  <c r="T118" i="44"/>
  <c r="R118" i="44"/>
  <c r="G118" i="44"/>
  <c r="T117" i="44"/>
  <c r="R117" i="44"/>
  <c r="G117" i="44"/>
  <c r="M117" i="44" s="1"/>
  <c r="N117" i="44" s="1"/>
  <c r="T116" i="44"/>
  <c r="R116" i="44"/>
  <c r="G116" i="44"/>
  <c r="K116" i="44" s="1"/>
  <c r="L116" i="44" s="1"/>
  <c r="T115" i="44"/>
  <c r="R115" i="44"/>
  <c r="G115" i="44"/>
  <c r="I115" i="44" s="1"/>
  <c r="J115" i="44" s="1"/>
  <c r="T114" i="44"/>
  <c r="R114" i="44"/>
  <c r="G114" i="44"/>
  <c r="M114" i="44" s="1"/>
  <c r="N114" i="44" s="1"/>
  <c r="T113" i="44"/>
  <c r="R113" i="44"/>
  <c r="O113" i="44"/>
  <c r="P113" i="44" s="1"/>
  <c r="M113" i="44"/>
  <c r="N113" i="44" s="1"/>
  <c r="G113" i="44"/>
  <c r="K113" i="44" s="1"/>
  <c r="L113" i="44" s="1"/>
  <c r="T112" i="44"/>
  <c r="R112" i="44"/>
  <c r="G112" i="44"/>
  <c r="T111" i="44"/>
  <c r="R111" i="44"/>
  <c r="G111" i="44"/>
  <c r="K111" i="44" s="1"/>
  <c r="L111" i="44" s="1"/>
  <c r="T110" i="44"/>
  <c r="R110" i="44"/>
  <c r="G110" i="44"/>
  <c r="K110" i="44" s="1"/>
  <c r="L110" i="44" s="1"/>
  <c r="T109" i="44"/>
  <c r="R109" i="44"/>
  <c r="G109" i="44"/>
  <c r="O109" i="44" s="1"/>
  <c r="P109" i="44" s="1"/>
  <c r="T108" i="44"/>
  <c r="R108" i="44"/>
  <c r="G108" i="44"/>
  <c r="T107" i="44"/>
  <c r="R107" i="44"/>
  <c r="O107" i="44"/>
  <c r="P107" i="44" s="1"/>
  <c r="M107" i="44"/>
  <c r="N107" i="44" s="1"/>
  <c r="K107" i="44"/>
  <c r="L107" i="44" s="1"/>
  <c r="I107" i="44"/>
  <c r="J107" i="44" s="1"/>
  <c r="G107" i="44"/>
  <c r="T106" i="44"/>
  <c r="R106" i="44"/>
  <c r="G106" i="44"/>
  <c r="T105" i="44"/>
  <c r="R105" i="44"/>
  <c r="G105" i="44"/>
  <c r="O105" i="44" s="1"/>
  <c r="P105" i="44" s="1"/>
  <c r="T104" i="44"/>
  <c r="R104" i="44"/>
  <c r="O104" i="44"/>
  <c r="P104" i="44" s="1"/>
  <c r="N104" i="44"/>
  <c r="K104" i="44"/>
  <c r="L104" i="44" s="1"/>
  <c r="I104" i="44"/>
  <c r="J104" i="44" s="1"/>
  <c r="G104" i="44"/>
  <c r="M104" i="44" s="1"/>
  <c r="T103" i="44"/>
  <c r="R103" i="44"/>
  <c r="G103" i="44"/>
  <c r="T102" i="44"/>
  <c r="R102" i="44"/>
  <c r="O102" i="44"/>
  <c r="P102" i="44" s="1"/>
  <c r="I102" i="44"/>
  <c r="J102" i="44" s="1"/>
  <c r="G102" i="44"/>
  <c r="M102" i="44" s="1"/>
  <c r="N102" i="44" s="1"/>
  <c r="T101" i="44"/>
  <c r="R101" i="44"/>
  <c r="G101" i="44"/>
  <c r="T100" i="44"/>
  <c r="R100" i="44"/>
  <c r="O100" i="44"/>
  <c r="P100" i="44" s="1"/>
  <c r="M100" i="44"/>
  <c r="N100" i="44" s="1"/>
  <c r="G100" i="44"/>
  <c r="K100" i="44" s="1"/>
  <c r="L100" i="44" s="1"/>
  <c r="T99" i="44"/>
  <c r="R99" i="44"/>
  <c r="G99" i="44"/>
  <c r="M99" i="44" s="1"/>
  <c r="N99" i="44" s="1"/>
  <c r="T98" i="44"/>
  <c r="R98" i="44"/>
  <c r="G98" i="44"/>
  <c r="I98" i="44" s="1"/>
  <c r="J98" i="44" s="1"/>
  <c r="T97" i="44"/>
  <c r="R97" i="44"/>
  <c r="G97" i="44"/>
  <c r="T96" i="44"/>
  <c r="R96" i="44"/>
  <c r="G96" i="44"/>
  <c r="O96" i="44" s="1"/>
  <c r="P96" i="44" s="1"/>
  <c r="T95" i="44"/>
  <c r="R95" i="44"/>
  <c r="G95" i="44"/>
  <c r="I95" i="44" s="1"/>
  <c r="J95" i="44" s="1"/>
  <c r="T94" i="44"/>
  <c r="R94" i="44"/>
  <c r="G94" i="44"/>
  <c r="K94" i="44" s="1"/>
  <c r="L94" i="44" s="1"/>
  <c r="T93" i="44"/>
  <c r="R93" i="44"/>
  <c r="G93" i="44"/>
  <c r="O93" i="44" s="1"/>
  <c r="P93" i="44" s="1"/>
  <c r="T92" i="44"/>
  <c r="R92" i="44"/>
  <c r="G92" i="44"/>
  <c r="M92" i="44" s="1"/>
  <c r="N92" i="44" s="1"/>
  <c r="T91" i="44"/>
  <c r="R91" i="44"/>
  <c r="G91" i="44"/>
  <c r="K91" i="44" s="1"/>
  <c r="L91" i="44" s="1"/>
  <c r="T90" i="44"/>
  <c r="R90" i="44"/>
  <c r="G90" i="44"/>
  <c r="O90" i="44" s="1"/>
  <c r="P90" i="44" s="1"/>
  <c r="T89" i="44"/>
  <c r="R89" i="44"/>
  <c r="G89" i="44"/>
  <c r="T88" i="44"/>
  <c r="R88" i="44"/>
  <c r="G88" i="44"/>
  <c r="M88" i="44" s="1"/>
  <c r="N88" i="44" s="1"/>
  <c r="T87" i="44"/>
  <c r="R87" i="44"/>
  <c r="G87" i="44"/>
  <c r="T86" i="44"/>
  <c r="R86" i="44"/>
  <c r="G86" i="44"/>
  <c r="T85" i="44"/>
  <c r="R85" i="44"/>
  <c r="G85" i="44"/>
  <c r="T84" i="44"/>
  <c r="R84" i="44"/>
  <c r="O84" i="44"/>
  <c r="P84" i="44" s="1"/>
  <c r="M84" i="44"/>
  <c r="N84" i="44" s="1"/>
  <c r="K84" i="44"/>
  <c r="L84" i="44" s="1"/>
  <c r="G84" i="44"/>
  <c r="I84" i="44" s="1"/>
  <c r="J84" i="44" s="1"/>
  <c r="T83" i="44"/>
  <c r="R83" i="44"/>
  <c r="O83" i="44"/>
  <c r="P83" i="44" s="1"/>
  <c r="G83" i="44"/>
  <c r="K83" i="44" s="1"/>
  <c r="L83" i="44" s="1"/>
  <c r="T82" i="44"/>
  <c r="R82" i="44"/>
  <c r="G82" i="44"/>
  <c r="M82" i="44" s="1"/>
  <c r="N82" i="44" s="1"/>
  <c r="T81" i="44"/>
  <c r="R81" i="44"/>
  <c r="G81" i="44"/>
  <c r="K81" i="44" s="1"/>
  <c r="L81" i="44" s="1"/>
  <c r="T80" i="44"/>
  <c r="R80" i="44"/>
  <c r="G80" i="44"/>
  <c r="K80" i="44" s="1"/>
  <c r="L80" i="44" s="1"/>
  <c r="T79" i="44"/>
  <c r="R79" i="44"/>
  <c r="G79" i="44"/>
  <c r="T78" i="44"/>
  <c r="R78" i="44"/>
  <c r="O78" i="44"/>
  <c r="P78" i="44" s="1"/>
  <c r="M78" i="44"/>
  <c r="N78" i="44" s="1"/>
  <c r="I78" i="44"/>
  <c r="J78" i="44" s="1"/>
  <c r="G78" i="44"/>
  <c r="K78" i="44" s="1"/>
  <c r="L78" i="44" s="1"/>
  <c r="T77" i="44"/>
  <c r="R77" i="44"/>
  <c r="G77" i="44"/>
  <c r="T76" i="44"/>
  <c r="R76" i="44"/>
  <c r="O76" i="44"/>
  <c r="P76" i="44" s="1"/>
  <c r="M76" i="44"/>
  <c r="N76" i="44" s="1"/>
  <c r="K76" i="44"/>
  <c r="L76" i="44" s="1"/>
  <c r="I76" i="44"/>
  <c r="J76" i="44" s="1"/>
  <c r="G76" i="44"/>
  <c r="T75" i="44"/>
  <c r="R75" i="44"/>
  <c r="G75" i="44"/>
  <c r="O75" i="44" s="1"/>
  <c r="P75" i="44" s="1"/>
  <c r="T74" i="44"/>
  <c r="R74" i="44"/>
  <c r="M74" i="44"/>
  <c r="N74" i="44" s="1"/>
  <c r="G74" i="44"/>
  <c r="K74" i="44" s="1"/>
  <c r="L74" i="44" s="1"/>
  <c r="T73" i="44"/>
  <c r="R73" i="44"/>
  <c r="G73" i="44"/>
  <c r="T72" i="44"/>
  <c r="R72" i="44"/>
  <c r="G72" i="44"/>
  <c r="O72" i="44" s="1"/>
  <c r="P72" i="44" s="1"/>
  <c r="T71" i="44"/>
  <c r="R71" i="44"/>
  <c r="G71" i="44"/>
  <c r="T70" i="44"/>
  <c r="R70" i="44"/>
  <c r="K70" i="44"/>
  <c r="L70" i="44" s="1"/>
  <c r="G70" i="44"/>
  <c r="I70" i="44" s="1"/>
  <c r="J70" i="44" s="1"/>
  <c r="T69" i="44"/>
  <c r="R69" i="44"/>
  <c r="G69" i="44"/>
  <c r="K69" i="44" s="1"/>
  <c r="L69" i="44" s="1"/>
  <c r="T68" i="44"/>
  <c r="R68" i="44"/>
  <c r="G68" i="44"/>
  <c r="T67" i="44"/>
  <c r="R67" i="44"/>
  <c r="G67" i="44"/>
  <c r="O67" i="44" s="1"/>
  <c r="P67" i="44" s="1"/>
  <c r="T66" i="44"/>
  <c r="R66" i="44"/>
  <c r="G66" i="44"/>
  <c r="K66" i="44" s="1"/>
  <c r="L66" i="44" s="1"/>
  <c r="T65" i="44"/>
  <c r="R65" i="44"/>
  <c r="G65" i="44"/>
  <c r="T64" i="44"/>
  <c r="R64" i="44"/>
  <c r="O64" i="44"/>
  <c r="P64" i="44" s="1"/>
  <c r="M64" i="44"/>
  <c r="N64" i="44" s="1"/>
  <c r="K64" i="44"/>
  <c r="L64" i="44" s="1"/>
  <c r="G64" i="44"/>
  <c r="I64" i="44" s="1"/>
  <c r="J64" i="44" s="1"/>
  <c r="T63" i="44"/>
  <c r="R63" i="44"/>
  <c r="O63" i="44"/>
  <c r="P63" i="44" s="1"/>
  <c r="G63" i="44"/>
  <c r="M63" i="44" s="1"/>
  <c r="N63" i="44" s="1"/>
  <c r="T62" i="44"/>
  <c r="R62" i="44"/>
  <c r="G62" i="44"/>
  <c r="I62" i="44" s="1"/>
  <c r="J62" i="44" s="1"/>
  <c r="T61" i="44"/>
  <c r="R61" i="44"/>
  <c r="M61" i="44"/>
  <c r="N61" i="44" s="1"/>
  <c r="G61" i="44"/>
  <c r="O61" i="44" s="1"/>
  <c r="P61" i="44" s="1"/>
  <c r="T60" i="44"/>
  <c r="R60" i="44"/>
  <c r="G60" i="44"/>
  <c r="T59" i="44"/>
  <c r="R59" i="44"/>
  <c r="G59" i="44"/>
  <c r="O59" i="44" s="1"/>
  <c r="P59" i="44" s="1"/>
  <c r="T58" i="44"/>
  <c r="R58" i="44"/>
  <c r="O58" i="44"/>
  <c r="P58" i="44" s="1"/>
  <c r="G58" i="44"/>
  <c r="M58" i="44" s="1"/>
  <c r="N58" i="44" s="1"/>
  <c r="T57" i="44"/>
  <c r="R57" i="44"/>
  <c r="G57" i="44"/>
  <c r="K57" i="44" s="1"/>
  <c r="L57" i="44" s="1"/>
  <c r="T56" i="44"/>
  <c r="R56" i="44"/>
  <c r="G56" i="44"/>
  <c r="K56" i="44" s="1"/>
  <c r="L56" i="44" s="1"/>
  <c r="T55" i="44"/>
  <c r="R55" i="44"/>
  <c r="G55" i="44"/>
  <c r="T54" i="44"/>
  <c r="R54" i="44"/>
  <c r="G54" i="44"/>
  <c r="I54" i="44" s="1"/>
  <c r="J54" i="44" s="1"/>
  <c r="T53" i="44"/>
  <c r="R53" i="44"/>
  <c r="G53" i="44"/>
  <c r="O53" i="44" s="1"/>
  <c r="P53" i="44" s="1"/>
  <c r="T52" i="44"/>
  <c r="R52" i="44"/>
  <c r="G52" i="44"/>
  <c r="T51" i="44"/>
  <c r="R51" i="44"/>
  <c r="G51" i="44"/>
  <c r="K51" i="44" s="1"/>
  <c r="L51" i="44" s="1"/>
  <c r="T50" i="44"/>
  <c r="R50" i="44"/>
  <c r="G50" i="44"/>
  <c r="T49" i="44"/>
  <c r="R49" i="44"/>
  <c r="G49" i="44"/>
  <c r="O49" i="44" s="1"/>
  <c r="P49" i="44" s="1"/>
  <c r="T48" i="44"/>
  <c r="R48" i="44"/>
  <c r="G48" i="44"/>
  <c r="K48" i="44" s="1"/>
  <c r="L48" i="44" s="1"/>
  <c r="T47" i="44"/>
  <c r="R47" i="44"/>
  <c r="G47" i="44"/>
  <c r="K47" i="44" s="1"/>
  <c r="L47" i="44" s="1"/>
  <c r="T46" i="44"/>
  <c r="R46" i="44"/>
  <c r="G46" i="44"/>
  <c r="O46" i="44" s="1"/>
  <c r="P46" i="44" s="1"/>
  <c r="T45" i="44"/>
  <c r="R45" i="44"/>
  <c r="G45" i="44"/>
  <c r="T44" i="44"/>
  <c r="R44" i="44"/>
  <c r="G44" i="44"/>
  <c r="O44" i="44" s="1"/>
  <c r="P44" i="44" s="1"/>
  <c r="T43" i="44"/>
  <c r="R43" i="44"/>
  <c r="M43" i="44"/>
  <c r="N43" i="44" s="1"/>
  <c r="G43" i="44"/>
  <c r="I43" i="44" s="1"/>
  <c r="J43" i="44" s="1"/>
  <c r="T42" i="44"/>
  <c r="R42" i="44"/>
  <c r="G42" i="44"/>
  <c r="I42" i="44" s="1"/>
  <c r="J42" i="44" s="1"/>
  <c r="T41" i="44"/>
  <c r="R41" i="44"/>
  <c r="G41" i="44"/>
  <c r="O41" i="44" s="1"/>
  <c r="P41" i="44" s="1"/>
  <c r="T40" i="44"/>
  <c r="R40" i="44"/>
  <c r="G40" i="44"/>
  <c r="O40" i="44" s="1"/>
  <c r="P40" i="44" s="1"/>
  <c r="T39" i="44"/>
  <c r="R39" i="44"/>
  <c r="G39" i="44"/>
  <c r="O39" i="44" s="1"/>
  <c r="P39" i="44" s="1"/>
  <c r="T38" i="44"/>
  <c r="R38" i="44"/>
  <c r="G38" i="44"/>
  <c r="O38" i="44" s="1"/>
  <c r="P38" i="44" s="1"/>
  <c r="T37" i="44"/>
  <c r="R37" i="44"/>
  <c r="G37" i="44"/>
  <c r="I37" i="44" s="1"/>
  <c r="J37" i="44" s="1"/>
  <c r="T36" i="44"/>
  <c r="R36" i="44"/>
  <c r="G36" i="44"/>
  <c r="T35" i="44"/>
  <c r="R35" i="44"/>
  <c r="G35" i="44"/>
  <c r="M35" i="44" s="1"/>
  <c r="N35" i="44" s="1"/>
  <c r="T34" i="44"/>
  <c r="R34" i="44"/>
  <c r="G34" i="44"/>
  <c r="K34" i="44" s="1"/>
  <c r="L34" i="44" s="1"/>
  <c r="T33" i="44"/>
  <c r="R33" i="44"/>
  <c r="G33" i="44"/>
  <c r="M33" i="44" s="1"/>
  <c r="N33" i="44" s="1"/>
  <c r="T32" i="44"/>
  <c r="R32" i="44"/>
  <c r="M32" i="44"/>
  <c r="N32" i="44" s="1"/>
  <c r="G32" i="44"/>
  <c r="I32" i="44" s="1"/>
  <c r="J32" i="44" s="1"/>
  <c r="T31" i="44"/>
  <c r="R31" i="44"/>
  <c r="G31" i="44"/>
  <c r="I31" i="44" s="1"/>
  <c r="J31" i="44" s="1"/>
  <c r="T30" i="44"/>
  <c r="R30" i="44"/>
  <c r="G30" i="44"/>
  <c r="O30" i="44" s="1"/>
  <c r="P30" i="44" s="1"/>
  <c r="T29" i="44"/>
  <c r="R29" i="44"/>
  <c r="G29" i="44"/>
  <c r="T28" i="44"/>
  <c r="R28" i="44"/>
  <c r="M28" i="44"/>
  <c r="N28" i="44" s="1"/>
  <c r="K28" i="44"/>
  <c r="L28" i="44" s="1"/>
  <c r="G28" i="44"/>
  <c r="I28" i="44" s="1"/>
  <c r="J28" i="44" s="1"/>
  <c r="T27" i="44"/>
  <c r="R27" i="44"/>
  <c r="G27" i="44"/>
  <c r="O27" i="44" s="1"/>
  <c r="P27" i="44" s="1"/>
  <c r="T26" i="44"/>
  <c r="R26" i="44"/>
  <c r="G26" i="44"/>
  <c r="T25" i="44"/>
  <c r="R25" i="44"/>
  <c r="K25" i="44"/>
  <c r="L25" i="44" s="1"/>
  <c r="I25" i="44"/>
  <c r="J25" i="44" s="1"/>
  <c r="G25" i="44"/>
  <c r="O25" i="44" s="1"/>
  <c r="P25" i="44" s="1"/>
  <c r="T24" i="44"/>
  <c r="R24" i="44"/>
  <c r="G24" i="44"/>
  <c r="M24" i="44" s="1"/>
  <c r="N24" i="44" s="1"/>
  <c r="T23" i="44"/>
  <c r="R23" i="44"/>
  <c r="G23" i="44"/>
  <c r="O23" i="44" s="1"/>
  <c r="P23" i="44" s="1"/>
  <c r="T22" i="44"/>
  <c r="R22" i="44"/>
  <c r="G22" i="44"/>
  <c r="K22" i="44" s="1"/>
  <c r="L22" i="44" s="1"/>
  <c r="T21" i="44"/>
  <c r="R21" i="44"/>
  <c r="G21" i="44"/>
  <c r="T20" i="44"/>
  <c r="R20" i="44"/>
  <c r="G20" i="44"/>
  <c r="O20" i="44" s="1"/>
  <c r="P20" i="44" s="1"/>
  <c r="T19" i="44"/>
  <c r="R19" i="44"/>
  <c r="G19" i="44"/>
  <c r="M19" i="44" s="1"/>
  <c r="N19" i="44" s="1"/>
  <c r="T18" i="44"/>
  <c r="R18" i="44"/>
  <c r="O18" i="44"/>
  <c r="P18" i="44" s="1"/>
  <c r="K18" i="44"/>
  <c r="L18" i="44" s="1"/>
  <c r="G18" i="44"/>
  <c r="M18" i="44" s="1"/>
  <c r="N18" i="44" s="1"/>
  <c r="T17" i="44"/>
  <c r="R17" i="44"/>
  <c r="G17" i="44"/>
  <c r="M17" i="44" s="1"/>
  <c r="N17" i="44" s="1"/>
  <c r="T16" i="44"/>
  <c r="R16" i="44"/>
  <c r="G16" i="44"/>
  <c r="O16" i="44" s="1"/>
  <c r="P16" i="44" s="1"/>
  <c r="T15" i="44"/>
  <c r="R15" i="44"/>
  <c r="O15" i="44"/>
  <c r="P15" i="44" s="1"/>
  <c r="G15" i="44"/>
  <c r="K15" i="44" s="1"/>
  <c r="L15" i="44" s="1"/>
  <c r="T14" i="44"/>
  <c r="R14" i="44"/>
  <c r="G14" i="44"/>
  <c r="O14" i="44" s="1"/>
  <c r="P14" i="44" s="1"/>
  <c r="T13" i="44"/>
  <c r="R13" i="44"/>
  <c r="O13" i="44"/>
  <c r="P13" i="44" s="1"/>
  <c r="K13" i="44"/>
  <c r="L13" i="44" s="1"/>
  <c r="I13" i="44"/>
  <c r="J13" i="44" s="1"/>
  <c r="G13" i="44"/>
  <c r="M13" i="44" s="1"/>
  <c r="N13" i="44" s="1"/>
  <c r="T12" i="44"/>
  <c r="R12" i="44"/>
  <c r="G12" i="44"/>
  <c r="O12" i="44" s="1"/>
  <c r="P12" i="44" s="1"/>
  <c r="T11" i="44"/>
  <c r="R11" i="44"/>
  <c r="M11" i="44"/>
  <c r="N11" i="44" s="1"/>
  <c r="G11" i="44"/>
  <c r="O11" i="44" s="1"/>
  <c r="P11" i="44" s="1"/>
  <c r="T10" i="44"/>
  <c r="R10" i="44"/>
  <c r="G10" i="44"/>
  <c r="K10" i="44" s="1"/>
  <c r="L10" i="44" s="1"/>
  <c r="T9" i="44"/>
  <c r="R9" i="44"/>
  <c r="G9" i="44"/>
  <c r="T8" i="44"/>
  <c r="R8" i="44"/>
  <c r="G8" i="44"/>
  <c r="O8" i="44" s="1"/>
  <c r="P8" i="44" s="1"/>
  <c r="T7" i="44"/>
  <c r="R7" i="44"/>
  <c r="K7" i="44"/>
  <c r="L7" i="44" s="1"/>
  <c r="G7" i="44"/>
  <c r="M7" i="44" s="1"/>
  <c r="N7" i="44" s="1"/>
  <c r="T6" i="44"/>
  <c r="R6" i="44"/>
  <c r="G6" i="44"/>
  <c r="M6" i="44" s="1"/>
  <c r="N6" i="44" s="1"/>
  <c r="T5" i="44"/>
  <c r="O5" i="44"/>
  <c r="P5" i="44" s="1"/>
  <c r="G5" i="44"/>
  <c r="K5" i="44" s="1"/>
  <c r="L5" i="44" s="1"/>
  <c r="AA15" i="45" l="1"/>
  <c r="O22" i="45"/>
  <c r="P22" i="45" s="1"/>
  <c r="I31" i="45"/>
  <c r="J31" i="45" s="1"/>
  <c r="O33" i="45"/>
  <c r="P33" i="45" s="1"/>
  <c r="O35" i="45"/>
  <c r="P35" i="45" s="1"/>
  <c r="O43" i="45"/>
  <c r="P43" i="45" s="1"/>
  <c r="I51" i="45"/>
  <c r="J51" i="45" s="1"/>
  <c r="I63" i="45"/>
  <c r="J63" i="45" s="1"/>
  <c r="I70" i="45"/>
  <c r="J70" i="45" s="1"/>
  <c r="Q70" i="45" s="1"/>
  <c r="S70" i="45" s="1"/>
  <c r="V70" i="45" s="1"/>
  <c r="W70" i="45" s="1"/>
  <c r="Q78" i="45"/>
  <c r="S78" i="45" s="1"/>
  <c r="V78" i="45" s="1"/>
  <c r="W78" i="45" s="1"/>
  <c r="M79" i="45"/>
  <c r="N79" i="45" s="1"/>
  <c r="M83" i="45"/>
  <c r="N83" i="45" s="1"/>
  <c r="I86" i="45"/>
  <c r="J86" i="45" s="1"/>
  <c r="I90" i="45"/>
  <c r="J90" i="45" s="1"/>
  <c r="M91" i="45"/>
  <c r="N91" i="45" s="1"/>
  <c r="Q91" i="45" s="1"/>
  <c r="S91" i="45" s="1"/>
  <c r="V91" i="45" s="1"/>
  <c r="W91" i="45" s="1"/>
  <c r="M95" i="45"/>
  <c r="N95" i="45" s="1"/>
  <c r="O114" i="45"/>
  <c r="P114" i="45" s="1"/>
  <c r="I136" i="45"/>
  <c r="J136" i="45" s="1"/>
  <c r="O145" i="45"/>
  <c r="P145" i="45" s="1"/>
  <c r="Q145" i="45" s="1"/>
  <c r="S145" i="45" s="1"/>
  <c r="V145" i="45" s="1"/>
  <c r="W145" i="45" s="1"/>
  <c r="M190" i="45"/>
  <c r="N190" i="45" s="1"/>
  <c r="I206" i="45"/>
  <c r="J206" i="45" s="1"/>
  <c r="O217" i="45"/>
  <c r="P217" i="45" s="1"/>
  <c r="M7" i="45"/>
  <c r="N7" i="45" s="1"/>
  <c r="M10" i="45"/>
  <c r="N10" i="45" s="1"/>
  <c r="K25" i="45"/>
  <c r="L25" i="45" s="1"/>
  <c r="I27" i="45"/>
  <c r="J27" i="45" s="1"/>
  <c r="Q27" i="45" s="1"/>
  <c r="S27" i="45" s="1"/>
  <c r="V27" i="45" s="1"/>
  <c r="W27" i="45" s="1"/>
  <c r="K31" i="45"/>
  <c r="L31" i="45" s="1"/>
  <c r="K51" i="45"/>
  <c r="L51" i="45" s="1"/>
  <c r="K63" i="45"/>
  <c r="L63" i="45" s="1"/>
  <c r="O67" i="45"/>
  <c r="P67" i="45" s="1"/>
  <c r="O71" i="45"/>
  <c r="P71" i="45" s="1"/>
  <c r="Q71" i="45" s="1"/>
  <c r="S71" i="45" s="1"/>
  <c r="V71" i="45" s="1"/>
  <c r="W71" i="45" s="1"/>
  <c r="I74" i="45"/>
  <c r="J74" i="45" s="1"/>
  <c r="M75" i="45"/>
  <c r="N75" i="45" s="1"/>
  <c r="O87" i="45"/>
  <c r="P87" i="45" s="1"/>
  <c r="O133" i="45"/>
  <c r="P133" i="45" s="1"/>
  <c r="Q133" i="45" s="1"/>
  <c r="S133" i="45" s="1"/>
  <c r="V133" i="45" s="1"/>
  <c r="W133" i="45" s="1"/>
  <c r="K206" i="45"/>
  <c r="L206" i="45" s="1"/>
  <c r="I215" i="45"/>
  <c r="J215" i="45" s="1"/>
  <c r="O10" i="45"/>
  <c r="P10" i="45" s="1"/>
  <c r="M25" i="45"/>
  <c r="N25" i="45" s="1"/>
  <c r="M27" i="45"/>
  <c r="N27" i="45" s="1"/>
  <c r="M31" i="45"/>
  <c r="N31" i="45" s="1"/>
  <c r="I42" i="45"/>
  <c r="J42" i="45" s="1"/>
  <c r="M49" i="45"/>
  <c r="N49" i="45" s="1"/>
  <c r="M51" i="45"/>
  <c r="N51" i="45" s="1"/>
  <c r="M63" i="45"/>
  <c r="N63" i="45" s="1"/>
  <c r="M66" i="45"/>
  <c r="N66" i="45" s="1"/>
  <c r="M70" i="45"/>
  <c r="N70" i="45" s="1"/>
  <c r="O79" i="45"/>
  <c r="P79" i="45" s="1"/>
  <c r="O83" i="45"/>
  <c r="P83" i="45" s="1"/>
  <c r="M86" i="45"/>
  <c r="N86" i="45" s="1"/>
  <c r="M90" i="45"/>
  <c r="N90" i="45" s="1"/>
  <c r="O91" i="45"/>
  <c r="P91" i="45" s="1"/>
  <c r="O95" i="45"/>
  <c r="P95" i="45" s="1"/>
  <c r="K102" i="45"/>
  <c r="L102" i="45" s="1"/>
  <c r="Q105" i="45"/>
  <c r="S105" i="45" s="1"/>
  <c r="V105" i="45" s="1"/>
  <c r="W105" i="45" s="1"/>
  <c r="M113" i="45"/>
  <c r="N113" i="45" s="1"/>
  <c r="I129" i="45"/>
  <c r="J129" i="45" s="1"/>
  <c r="I149" i="45"/>
  <c r="J149" i="45" s="1"/>
  <c r="K196" i="45"/>
  <c r="L196" i="45" s="1"/>
  <c r="Q196" i="45" s="1"/>
  <c r="S196" i="45" s="1"/>
  <c r="V196" i="45" s="1"/>
  <c r="W196" i="45" s="1"/>
  <c r="M206" i="45"/>
  <c r="N206" i="45" s="1"/>
  <c r="K215" i="45"/>
  <c r="L215" i="45" s="1"/>
  <c r="K223" i="45"/>
  <c r="L223" i="45" s="1"/>
  <c r="O49" i="45"/>
  <c r="P49" i="45" s="1"/>
  <c r="M74" i="45"/>
  <c r="N74" i="45" s="1"/>
  <c r="O75" i="45"/>
  <c r="P75" i="45" s="1"/>
  <c r="Q75" i="45" s="1"/>
  <c r="S75" i="45" s="1"/>
  <c r="V75" i="45" s="1"/>
  <c r="W75" i="45" s="1"/>
  <c r="O70" i="45"/>
  <c r="P70" i="45" s="1"/>
  <c r="O86" i="45"/>
  <c r="P86" i="45" s="1"/>
  <c r="Q86" i="45" s="1"/>
  <c r="S86" i="45" s="1"/>
  <c r="V86" i="45" s="1"/>
  <c r="W86" i="45" s="1"/>
  <c r="O90" i="45"/>
  <c r="P90" i="45" s="1"/>
  <c r="K212" i="45"/>
  <c r="L212" i="45" s="1"/>
  <c r="I8" i="45"/>
  <c r="J8" i="45" s="1"/>
  <c r="I23" i="45"/>
  <c r="J23" i="45" s="1"/>
  <c r="I30" i="45"/>
  <c r="J30" i="45" s="1"/>
  <c r="Q30" i="45" s="1"/>
  <c r="S30" i="45" s="1"/>
  <c r="V30" i="45" s="1"/>
  <c r="W30" i="45" s="1"/>
  <c r="O42" i="45"/>
  <c r="P42" i="45" s="1"/>
  <c r="K47" i="45"/>
  <c r="L47" i="45" s="1"/>
  <c r="K59" i="45"/>
  <c r="L59" i="45" s="1"/>
  <c r="I72" i="45"/>
  <c r="J72" i="45" s="1"/>
  <c r="O74" i="45"/>
  <c r="P74" i="45" s="1"/>
  <c r="O78" i="45"/>
  <c r="P78" i="45" s="1"/>
  <c r="O82" i="45"/>
  <c r="P82" i="45" s="1"/>
  <c r="Q82" i="45" s="1"/>
  <c r="O94" i="45"/>
  <c r="P94" i="45" s="1"/>
  <c r="Q94" i="45" s="1"/>
  <c r="S94" i="45" s="1"/>
  <c r="V94" i="45" s="1"/>
  <c r="W94" i="45" s="1"/>
  <c r="K101" i="45"/>
  <c r="L101" i="45" s="1"/>
  <c r="Q101" i="45" s="1"/>
  <c r="S101" i="45" s="1"/>
  <c r="V101" i="45" s="1"/>
  <c r="W101" i="45" s="1"/>
  <c r="I125" i="45"/>
  <c r="J125" i="45" s="1"/>
  <c r="M129" i="45"/>
  <c r="N129" i="45" s="1"/>
  <c r="I137" i="45"/>
  <c r="J137" i="45" s="1"/>
  <c r="Q137" i="45" s="1"/>
  <c r="S137" i="45" s="1"/>
  <c r="V137" i="45" s="1"/>
  <c r="W137" i="45" s="1"/>
  <c r="M149" i="45"/>
  <c r="N149" i="45" s="1"/>
  <c r="Q149" i="45" s="1"/>
  <c r="S149" i="45" s="1"/>
  <c r="V149" i="45" s="1"/>
  <c r="W149" i="45" s="1"/>
  <c r="I157" i="45"/>
  <c r="J157" i="45" s="1"/>
  <c r="K170" i="45"/>
  <c r="L170" i="45" s="1"/>
  <c r="K176" i="45"/>
  <c r="L176" i="45" s="1"/>
  <c r="I194" i="45"/>
  <c r="J194" i="45" s="1"/>
  <c r="O204" i="45"/>
  <c r="P204" i="45" s="1"/>
  <c r="Q204" i="45" s="1"/>
  <c r="S204" i="45" s="1"/>
  <c r="V204" i="45" s="1"/>
  <c r="W204" i="45" s="1"/>
  <c r="M212" i="45"/>
  <c r="N212" i="45" s="1"/>
  <c r="M221" i="45"/>
  <c r="N221" i="45" s="1"/>
  <c r="Q221" i="45" s="1"/>
  <c r="S221" i="45" s="1"/>
  <c r="V221" i="45" s="1"/>
  <c r="W221" i="45" s="1"/>
  <c r="K8" i="45"/>
  <c r="L8" i="45" s="1"/>
  <c r="M11" i="45"/>
  <c r="N11" i="45" s="1"/>
  <c r="M14" i="45"/>
  <c r="N14" i="45" s="1"/>
  <c r="K23" i="45"/>
  <c r="L23" i="45" s="1"/>
  <c r="I26" i="45"/>
  <c r="J26" i="45" s="1"/>
  <c r="Q26" i="45" s="1"/>
  <c r="S26" i="45" s="1"/>
  <c r="V26" i="45" s="1"/>
  <c r="W26" i="45" s="1"/>
  <c r="O36" i="45"/>
  <c r="P36" i="45" s="1"/>
  <c r="Q45" i="45"/>
  <c r="M47" i="45"/>
  <c r="N47" i="45" s="1"/>
  <c r="M62" i="45"/>
  <c r="N62" i="45" s="1"/>
  <c r="M101" i="45"/>
  <c r="N101" i="45" s="1"/>
  <c r="Q109" i="45"/>
  <c r="S109" i="45" s="1"/>
  <c r="V109" i="45" s="1"/>
  <c r="W109" i="45" s="1"/>
  <c r="M170" i="45"/>
  <c r="N170" i="45" s="1"/>
  <c r="M176" i="45"/>
  <c r="N176" i="45" s="1"/>
  <c r="K194" i="45"/>
  <c r="L194" i="45" s="1"/>
  <c r="Q202" i="45"/>
  <c r="S202" i="45" s="1"/>
  <c r="V202" i="45" s="1"/>
  <c r="W202" i="45" s="1"/>
  <c r="O212" i="45"/>
  <c r="P212" i="45" s="1"/>
  <c r="O221" i="45"/>
  <c r="P221" i="45" s="1"/>
  <c r="M30" i="45"/>
  <c r="N30" i="45" s="1"/>
  <c r="K125" i="45"/>
  <c r="L125" i="45" s="1"/>
  <c r="K137" i="45"/>
  <c r="L137" i="45" s="1"/>
  <c r="K157" i="45"/>
  <c r="L157" i="45" s="1"/>
  <c r="M194" i="45"/>
  <c r="N194" i="45" s="1"/>
  <c r="I210" i="45"/>
  <c r="J210" i="45" s="1"/>
  <c r="O30" i="45"/>
  <c r="P30" i="45" s="1"/>
  <c r="M125" i="45"/>
  <c r="N125" i="45" s="1"/>
  <c r="M137" i="45"/>
  <c r="N137" i="45" s="1"/>
  <c r="Q200" i="45"/>
  <c r="S200" i="45" s="1"/>
  <c r="V200" i="45" s="1"/>
  <c r="W200" i="45" s="1"/>
  <c r="Q208" i="45"/>
  <c r="S208" i="45" s="1"/>
  <c r="V208" i="45" s="1"/>
  <c r="W208" i="45" s="1"/>
  <c r="Q90" i="45"/>
  <c r="I20" i="45"/>
  <c r="J20" i="45" s="1"/>
  <c r="I22" i="45"/>
  <c r="J22" i="45" s="1"/>
  <c r="Q22" i="45" s="1"/>
  <c r="K41" i="45"/>
  <c r="L41" i="45" s="1"/>
  <c r="I43" i="45"/>
  <c r="J43" i="45" s="1"/>
  <c r="Q43" i="45" s="1"/>
  <c r="S43" i="45" s="1"/>
  <c r="V43" i="45" s="1"/>
  <c r="W43" i="45" s="1"/>
  <c r="I119" i="45"/>
  <c r="J119" i="45" s="1"/>
  <c r="I128" i="45"/>
  <c r="J128" i="45" s="1"/>
  <c r="K200" i="45"/>
  <c r="L200" i="45" s="1"/>
  <c r="K208" i="45"/>
  <c r="L208" i="45" s="1"/>
  <c r="I12" i="45"/>
  <c r="J12" i="45" s="1"/>
  <c r="K33" i="45"/>
  <c r="L33" i="45" s="1"/>
  <c r="Q33" i="45" s="1"/>
  <c r="S33" i="45" s="1"/>
  <c r="V33" i="45" s="1"/>
  <c r="W33" i="45" s="1"/>
  <c r="O37" i="45"/>
  <c r="P37" i="45" s="1"/>
  <c r="M41" i="45"/>
  <c r="N41" i="45" s="1"/>
  <c r="M58" i="45"/>
  <c r="N58" i="45" s="1"/>
  <c r="M114" i="45"/>
  <c r="N114" i="45" s="1"/>
  <c r="Q117" i="45"/>
  <c r="I148" i="45"/>
  <c r="J148" i="45" s="1"/>
  <c r="I190" i="45"/>
  <c r="J190" i="45" s="1"/>
  <c r="M200" i="45"/>
  <c r="N200" i="45" s="1"/>
  <c r="M208" i="45"/>
  <c r="N208" i="45" s="1"/>
  <c r="K217" i="45"/>
  <c r="L217" i="45" s="1"/>
  <c r="Q217" i="45" s="1"/>
  <c r="S217" i="45" s="1"/>
  <c r="V217" i="45" s="1"/>
  <c r="W217" i="45" s="1"/>
  <c r="K225" i="45"/>
  <c r="L225" i="45" s="1"/>
  <c r="I188" i="44"/>
  <c r="J188" i="44" s="1"/>
  <c r="O7" i="44"/>
  <c r="P7" i="44" s="1"/>
  <c r="M23" i="44"/>
  <c r="N23" i="44" s="1"/>
  <c r="K59" i="44"/>
  <c r="L59" i="44" s="1"/>
  <c r="M70" i="44"/>
  <c r="N70" i="44" s="1"/>
  <c r="O82" i="44"/>
  <c r="P82" i="44" s="1"/>
  <c r="O110" i="44"/>
  <c r="P110" i="44" s="1"/>
  <c r="I146" i="44"/>
  <c r="J146" i="44" s="1"/>
  <c r="M149" i="44"/>
  <c r="N149" i="44" s="1"/>
  <c r="Q149" i="44" s="1"/>
  <c r="O156" i="44"/>
  <c r="P156" i="44" s="1"/>
  <c r="M164" i="44"/>
  <c r="N164" i="44" s="1"/>
  <c r="M179" i="44"/>
  <c r="N179" i="44" s="1"/>
  <c r="O225" i="44"/>
  <c r="P225" i="44" s="1"/>
  <c r="O19" i="44"/>
  <c r="P19" i="44" s="1"/>
  <c r="I134" i="44"/>
  <c r="J134" i="44" s="1"/>
  <c r="I212" i="44"/>
  <c r="J212" i="44" s="1"/>
  <c r="O70" i="44"/>
  <c r="P70" i="44" s="1"/>
  <c r="O131" i="44"/>
  <c r="P131" i="44" s="1"/>
  <c r="M134" i="44"/>
  <c r="N134" i="44" s="1"/>
  <c r="M146" i="44"/>
  <c r="N146" i="44" s="1"/>
  <c r="O149" i="44"/>
  <c r="P149" i="44" s="1"/>
  <c r="M188" i="44"/>
  <c r="N188" i="44" s="1"/>
  <c r="O210" i="44"/>
  <c r="P210" i="44" s="1"/>
  <c r="K212" i="44"/>
  <c r="L212" i="44" s="1"/>
  <c r="Q212" i="44" s="1"/>
  <c r="K216" i="44"/>
  <c r="L216" i="44" s="1"/>
  <c r="O134" i="44"/>
  <c r="P134" i="44" s="1"/>
  <c r="O146" i="44"/>
  <c r="P146" i="44" s="1"/>
  <c r="O188" i="44"/>
  <c r="P188" i="44" s="1"/>
  <c r="M212" i="44"/>
  <c r="N212" i="44" s="1"/>
  <c r="M216" i="44"/>
  <c r="N216" i="44" s="1"/>
  <c r="M110" i="44"/>
  <c r="N110" i="44" s="1"/>
  <c r="I69" i="44"/>
  <c r="J69" i="44" s="1"/>
  <c r="O74" i="44"/>
  <c r="P74" i="44" s="1"/>
  <c r="I93" i="44"/>
  <c r="J93" i="44" s="1"/>
  <c r="I137" i="44"/>
  <c r="J137" i="44" s="1"/>
  <c r="Q137" i="44" s="1"/>
  <c r="M159" i="44"/>
  <c r="N159" i="44" s="1"/>
  <c r="Q159" i="44" s="1"/>
  <c r="S159" i="44" s="1"/>
  <c r="V159" i="44" s="1"/>
  <c r="W159" i="44" s="1"/>
  <c r="O171" i="44"/>
  <c r="P171" i="44" s="1"/>
  <c r="K208" i="44"/>
  <c r="L208" i="44" s="1"/>
  <c r="O88" i="44"/>
  <c r="P88" i="44" s="1"/>
  <c r="M156" i="44"/>
  <c r="N156" i="44" s="1"/>
  <c r="K179" i="44"/>
  <c r="L179" i="44" s="1"/>
  <c r="K210" i="44"/>
  <c r="L210" i="44" s="1"/>
  <c r="M69" i="44"/>
  <c r="N69" i="44" s="1"/>
  <c r="M93" i="44"/>
  <c r="N93" i="44" s="1"/>
  <c r="O159" i="44"/>
  <c r="P159" i="44" s="1"/>
  <c r="O186" i="44"/>
  <c r="P186" i="44" s="1"/>
  <c r="M208" i="44"/>
  <c r="N208" i="44" s="1"/>
  <c r="Q208" i="44" s="1"/>
  <c r="K6" i="44"/>
  <c r="L6" i="44" s="1"/>
  <c r="M38" i="44"/>
  <c r="N38" i="44" s="1"/>
  <c r="M66" i="44"/>
  <c r="N66" i="44" s="1"/>
  <c r="O69" i="44"/>
  <c r="P69" i="44" s="1"/>
  <c r="I80" i="44"/>
  <c r="J80" i="44" s="1"/>
  <c r="K109" i="44"/>
  <c r="L109" i="44" s="1"/>
  <c r="K137" i="44"/>
  <c r="L137" i="44" s="1"/>
  <c r="I175" i="44"/>
  <c r="J175" i="44" s="1"/>
  <c r="I180" i="44"/>
  <c r="J180" i="44" s="1"/>
  <c r="K196" i="44"/>
  <c r="L196" i="44" s="1"/>
  <c r="K220" i="44"/>
  <c r="L220" i="44" s="1"/>
  <c r="K223" i="44"/>
  <c r="L223" i="44" s="1"/>
  <c r="K131" i="44"/>
  <c r="L131" i="44" s="1"/>
  <c r="Q131" i="44" s="1"/>
  <c r="S131" i="44" s="1"/>
  <c r="V131" i="44" s="1"/>
  <c r="W131" i="44" s="1"/>
  <c r="O6" i="44"/>
  <c r="P6" i="44" s="1"/>
  <c r="M15" i="44"/>
  <c r="N15" i="44" s="1"/>
  <c r="M109" i="44"/>
  <c r="N109" i="44" s="1"/>
  <c r="M137" i="44"/>
  <c r="N137" i="44" s="1"/>
  <c r="M157" i="44"/>
  <c r="N157" i="44" s="1"/>
  <c r="K175" i="44"/>
  <c r="L175" i="44" s="1"/>
  <c r="M178" i="44"/>
  <c r="N178" i="44" s="1"/>
  <c r="I184" i="44"/>
  <c r="J184" i="44" s="1"/>
  <c r="M196" i="44"/>
  <c r="N196" i="44" s="1"/>
  <c r="K211" i="44"/>
  <c r="L211" i="44" s="1"/>
  <c r="Q64" i="44"/>
  <c r="S64" i="44" s="1"/>
  <c r="V64" i="44" s="1"/>
  <c r="W64" i="44" s="1"/>
  <c r="O211" i="44"/>
  <c r="P211" i="44" s="1"/>
  <c r="Q211" i="44" s="1"/>
  <c r="O220" i="44"/>
  <c r="P220" i="44" s="1"/>
  <c r="M25" i="44"/>
  <c r="N25" i="44" s="1"/>
  <c r="O28" i="44"/>
  <c r="P28" i="44" s="1"/>
  <c r="K136" i="44"/>
  <c r="L136" i="44" s="1"/>
  <c r="K160" i="44"/>
  <c r="L160" i="44" s="1"/>
  <c r="M200" i="44"/>
  <c r="N200" i="44" s="1"/>
  <c r="M207" i="44"/>
  <c r="N207" i="44" s="1"/>
  <c r="O215" i="44"/>
  <c r="P215" i="44" s="1"/>
  <c r="K218" i="44"/>
  <c r="L218" i="44" s="1"/>
  <c r="I20" i="44"/>
  <c r="J20" i="44" s="1"/>
  <c r="I195" i="44"/>
  <c r="J195" i="44" s="1"/>
  <c r="M138" i="44"/>
  <c r="N138" i="44" s="1"/>
  <c r="M10" i="44"/>
  <c r="N10" i="44" s="1"/>
  <c r="K20" i="44"/>
  <c r="L20" i="44" s="1"/>
  <c r="M22" i="44"/>
  <c r="N22" i="44" s="1"/>
  <c r="I35" i="44"/>
  <c r="J35" i="44" s="1"/>
  <c r="M37" i="44"/>
  <c r="N37" i="44" s="1"/>
  <c r="M47" i="44"/>
  <c r="N47" i="44" s="1"/>
  <c r="I49" i="44"/>
  <c r="J49" i="44" s="1"/>
  <c r="M51" i="44"/>
  <c r="N51" i="44" s="1"/>
  <c r="M56" i="44"/>
  <c r="N56" i="44" s="1"/>
  <c r="I67" i="44"/>
  <c r="J67" i="44" s="1"/>
  <c r="I90" i="44"/>
  <c r="J90" i="44" s="1"/>
  <c r="I92" i="44"/>
  <c r="J92" i="44" s="1"/>
  <c r="Q92" i="44" s="1"/>
  <c r="S92" i="44" s="1"/>
  <c r="V92" i="44" s="1"/>
  <c r="W92" i="44" s="1"/>
  <c r="I96" i="44"/>
  <c r="J96" i="44" s="1"/>
  <c r="O111" i="44"/>
  <c r="P111" i="44" s="1"/>
  <c r="K132" i="44"/>
  <c r="L132" i="44" s="1"/>
  <c r="M141" i="44"/>
  <c r="N141" i="44" s="1"/>
  <c r="K148" i="44"/>
  <c r="L148" i="44" s="1"/>
  <c r="K161" i="44"/>
  <c r="L161" i="44" s="1"/>
  <c r="I163" i="44"/>
  <c r="J163" i="44" s="1"/>
  <c r="O176" i="44"/>
  <c r="P176" i="44" s="1"/>
  <c r="K183" i="44"/>
  <c r="L183" i="44" s="1"/>
  <c r="Q183" i="44" s="1"/>
  <c r="S183" i="44" s="1"/>
  <c r="V183" i="44" s="1"/>
  <c r="W183" i="44" s="1"/>
  <c r="I193" i="44"/>
  <c r="J193" i="44" s="1"/>
  <c r="K195" i="44"/>
  <c r="L195" i="44" s="1"/>
  <c r="Q107" i="44"/>
  <c r="S107" i="44" s="1"/>
  <c r="V107" i="44" s="1"/>
  <c r="W107" i="44" s="1"/>
  <c r="Q134" i="44"/>
  <c r="K167" i="44"/>
  <c r="L167" i="44" s="1"/>
  <c r="I221" i="44"/>
  <c r="J221" i="44" s="1"/>
  <c r="I51" i="44"/>
  <c r="J51" i="44" s="1"/>
  <c r="M81" i="44"/>
  <c r="N81" i="44" s="1"/>
  <c r="I199" i="44"/>
  <c r="J199" i="44" s="1"/>
  <c r="I33" i="44"/>
  <c r="J33" i="44" s="1"/>
  <c r="O37" i="44"/>
  <c r="P37" i="44" s="1"/>
  <c r="M42" i="44"/>
  <c r="N42" i="44" s="1"/>
  <c r="K49" i="44"/>
  <c r="L49" i="44" s="1"/>
  <c r="Q49" i="44" s="1"/>
  <c r="O51" i="44"/>
  <c r="P51" i="44" s="1"/>
  <c r="K54" i="44"/>
  <c r="L54" i="44" s="1"/>
  <c r="Q54" i="44" s="1"/>
  <c r="O56" i="44"/>
  <c r="P56" i="44" s="1"/>
  <c r="O81" i="44"/>
  <c r="P81" i="44" s="1"/>
  <c r="I88" i="44"/>
  <c r="J88" i="44" s="1"/>
  <c r="K90" i="44"/>
  <c r="L90" i="44" s="1"/>
  <c r="K92" i="44"/>
  <c r="L92" i="44" s="1"/>
  <c r="K96" i="44"/>
  <c r="L96" i="44" s="1"/>
  <c r="M105" i="44"/>
  <c r="N105" i="44" s="1"/>
  <c r="K124" i="44"/>
  <c r="L124" i="44" s="1"/>
  <c r="M143" i="44"/>
  <c r="N143" i="44" s="1"/>
  <c r="O148" i="44"/>
  <c r="P148" i="44" s="1"/>
  <c r="M153" i="44"/>
  <c r="N153" i="44" s="1"/>
  <c r="M161" i="44"/>
  <c r="N161" i="44" s="1"/>
  <c r="K163" i="44"/>
  <c r="L163" i="44" s="1"/>
  <c r="M165" i="44"/>
  <c r="N165" i="44" s="1"/>
  <c r="I181" i="44"/>
  <c r="J181" i="44" s="1"/>
  <c r="M183" i="44"/>
  <c r="N183" i="44" s="1"/>
  <c r="K187" i="44"/>
  <c r="L187" i="44" s="1"/>
  <c r="M193" i="44"/>
  <c r="N193" i="44" s="1"/>
  <c r="M195" i="44"/>
  <c r="N195" i="44" s="1"/>
  <c r="K199" i="44"/>
  <c r="L199" i="44" s="1"/>
  <c r="K203" i="44"/>
  <c r="L203" i="44" s="1"/>
  <c r="Q203" i="44" s="1"/>
  <c r="M205" i="44"/>
  <c r="N205" i="44" s="1"/>
  <c r="M221" i="44"/>
  <c r="N221" i="44" s="1"/>
  <c r="I224" i="44"/>
  <c r="J224" i="44" s="1"/>
  <c r="Q224" i="44" s="1"/>
  <c r="S224" i="44" s="1"/>
  <c r="V224" i="44" s="1"/>
  <c r="W224" i="44" s="1"/>
  <c r="I47" i="44"/>
  <c r="J47" i="44" s="1"/>
  <c r="I130" i="44"/>
  <c r="J130" i="44" s="1"/>
  <c r="I8" i="44"/>
  <c r="J8" i="44" s="1"/>
  <c r="K37" i="44"/>
  <c r="L37" i="44" s="1"/>
  <c r="Q37" i="44" s="1"/>
  <c r="S37" i="44" s="1"/>
  <c r="V37" i="44" s="1"/>
  <c r="W37" i="44" s="1"/>
  <c r="M111" i="44"/>
  <c r="N111" i="44" s="1"/>
  <c r="O167" i="44"/>
  <c r="P167" i="44" s="1"/>
  <c r="I187" i="44"/>
  <c r="J187" i="44" s="1"/>
  <c r="K8" i="44"/>
  <c r="L8" i="44" s="1"/>
  <c r="K31" i="44"/>
  <c r="L31" i="44" s="1"/>
  <c r="I5" i="44"/>
  <c r="J5" i="44" s="1"/>
  <c r="M8" i="44"/>
  <c r="N8" i="44" s="1"/>
  <c r="O10" i="44"/>
  <c r="P10" i="44" s="1"/>
  <c r="O17" i="44"/>
  <c r="P17" i="44" s="1"/>
  <c r="I19" i="44"/>
  <c r="J19" i="44" s="1"/>
  <c r="M20" i="44"/>
  <c r="N20" i="44" s="1"/>
  <c r="O22" i="44"/>
  <c r="P22" i="44" s="1"/>
  <c r="M31" i="44"/>
  <c r="N31" i="44" s="1"/>
  <c r="K33" i="44"/>
  <c r="L33" i="44" s="1"/>
  <c r="K35" i="44"/>
  <c r="L35" i="44" s="1"/>
  <c r="I39" i="44"/>
  <c r="J39" i="44" s="1"/>
  <c r="O47" i="44"/>
  <c r="P47" i="44" s="1"/>
  <c r="I59" i="44"/>
  <c r="J59" i="44" s="1"/>
  <c r="I61" i="44"/>
  <c r="J61" i="44" s="1"/>
  <c r="Q61" i="44" s="1"/>
  <c r="I63" i="44"/>
  <c r="J63" i="44" s="1"/>
  <c r="K67" i="44"/>
  <c r="L67" i="44" s="1"/>
  <c r="M96" i="44"/>
  <c r="N96" i="44" s="1"/>
  <c r="O99" i="44"/>
  <c r="P99" i="44" s="1"/>
  <c r="I122" i="44"/>
  <c r="J122" i="44" s="1"/>
  <c r="Q122" i="44" s="1"/>
  <c r="O124" i="44"/>
  <c r="P124" i="44" s="1"/>
  <c r="M126" i="44"/>
  <c r="N126" i="44" s="1"/>
  <c r="I131" i="44"/>
  <c r="J131" i="44" s="1"/>
  <c r="M132" i="44"/>
  <c r="N132" i="44" s="1"/>
  <c r="O141" i="44"/>
  <c r="P141" i="44" s="1"/>
  <c r="O143" i="44"/>
  <c r="P143" i="44" s="1"/>
  <c r="M150" i="44"/>
  <c r="N150" i="44" s="1"/>
  <c r="O153" i="44"/>
  <c r="P153" i="44" s="1"/>
  <c r="M163" i="44"/>
  <c r="N163" i="44" s="1"/>
  <c r="I172" i="44"/>
  <c r="J172" i="44" s="1"/>
  <c r="M181" i="44"/>
  <c r="N181" i="44" s="1"/>
  <c r="O187" i="44"/>
  <c r="P187" i="44" s="1"/>
  <c r="K191" i="44"/>
  <c r="L191" i="44" s="1"/>
  <c r="O193" i="44"/>
  <c r="P193" i="44" s="1"/>
  <c r="O199" i="44"/>
  <c r="P199" i="44" s="1"/>
  <c r="M203" i="44"/>
  <c r="N203" i="44" s="1"/>
  <c r="O205" i="44"/>
  <c r="P205" i="44" s="1"/>
  <c r="K224" i="44"/>
  <c r="L224" i="44" s="1"/>
  <c r="M5" i="44"/>
  <c r="N5" i="44" s="1"/>
  <c r="I7" i="44"/>
  <c r="J7" i="44" s="1"/>
  <c r="Q7" i="44" s="1"/>
  <c r="K19" i="44"/>
  <c r="L19" i="44" s="1"/>
  <c r="O31" i="44"/>
  <c r="P31" i="44" s="1"/>
  <c r="O35" i="44"/>
  <c r="P35" i="44" s="1"/>
  <c r="K39" i="44"/>
  <c r="L39" i="44" s="1"/>
  <c r="O42" i="44"/>
  <c r="P42" i="44" s="1"/>
  <c r="M49" i="44"/>
  <c r="N49" i="44" s="1"/>
  <c r="M54" i="44"/>
  <c r="N54" i="44" s="1"/>
  <c r="K61" i="44"/>
  <c r="L61" i="44" s="1"/>
  <c r="K88" i="44"/>
  <c r="L88" i="44" s="1"/>
  <c r="M90" i="44"/>
  <c r="N90" i="44" s="1"/>
  <c r="O92" i="44"/>
  <c r="P92" i="44" s="1"/>
  <c r="I156" i="44"/>
  <c r="J156" i="44" s="1"/>
  <c r="Q156" i="44" s="1"/>
  <c r="S156" i="44" s="1"/>
  <c r="V156" i="44" s="1"/>
  <c r="W156" i="44" s="1"/>
  <c r="K172" i="44"/>
  <c r="L172" i="44" s="1"/>
  <c r="O181" i="44"/>
  <c r="P181" i="44" s="1"/>
  <c r="O183" i="44"/>
  <c r="P183" i="44" s="1"/>
  <c r="M191" i="44"/>
  <c r="N191" i="44" s="1"/>
  <c r="O224" i="44"/>
  <c r="P224" i="44" s="1"/>
  <c r="I111" i="44"/>
  <c r="J111" i="44" s="1"/>
  <c r="I143" i="44"/>
  <c r="J143" i="44" s="1"/>
  <c r="I10" i="44"/>
  <c r="J10" i="44" s="1"/>
  <c r="I22" i="44"/>
  <c r="J22" i="44" s="1"/>
  <c r="I105" i="44"/>
  <c r="J105" i="44" s="1"/>
  <c r="M176" i="44"/>
  <c r="N176" i="44" s="1"/>
  <c r="Q176" i="44" s="1"/>
  <c r="S176" i="44" s="1"/>
  <c r="V176" i="44" s="1"/>
  <c r="W176" i="44" s="1"/>
  <c r="I205" i="44"/>
  <c r="J205" i="44" s="1"/>
  <c r="Q205" i="44" s="1"/>
  <c r="K221" i="44"/>
  <c r="L221" i="44" s="1"/>
  <c r="Q25" i="44"/>
  <c r="O33" i="44"/>
  <c r="P33" i="44" s="1"/>
  <c r="Q104" i="44"/>
  <c r="S104" i="44" s="1"/>
  <c r="V104" i="44" s="1"/>
  <c r="W104" i="44" s="1"/>
  <c r="M172" i="44"/>
  <c r="N172" i="44" s="1"/>
  <c r="I218" i="44"/>
  <c r="J218" i="44" s="1"/>
  <c r="I16" i="44"/>
  <c r="J16" i="44" s="1"/>
  <c r="K176" i="44"/>
  <c r="L176" i="44" s="1"/>
  <c r="I11" i="44"/>
  <c r="J11" i="44" s="1"/>
  <c r="I23" i="44"/>
  <c r="J23" i="44" s="1"/>
  <c r="Q23" i="44" s="1"/>
  <c r="S23" i="44" s="1"/>
  <c r="V23" i="44" s="1"/>
  <c r="W23" i="44" s="1"/>
  <c r="I48" i="44"/>
  <c r="J48" i="44" s="1"/>
  <c r="Q48" i="44" s="1"/>
  <c r="M59" i="44"/>
  <c r="N59" i="44" s="1"/>
  <c r="Q59" i="44" s="1"/>
  <c r="M80" i="44"/>
  <c r="N80" i="44" s="1"/>
  <c r="I82" i="44"/>
  <c r="J82" i="44" s="1"/>
  <c r="K95" i="44"/>
  <c r="L95" i="44" s="1"/>
  <c r="I100" i="44"/>
  <c r="J100" i="44" s="1"/>
  <c r="Q100" i="44" s="1"/>
  <c r="S100" i="44" s="1"/>
  <c r="V100" i="44" s="1"/>
  <c r="W100" i="44" s="1"/>
  <c r="K102" i="44"/>
  <c r="L102" i="44" s="1"/>
  <c r="I125" i="44"/>
  <c r="J125" i="44" s="1"/>
  <c r="K144" i="44"/>
  <c r="L144" i="44" s="1"/>
  <c r="I149" i="44"/>
  <c r="J149" i="44" s="1"/>
  <c r="I171" i="44"/>
  <c r="J171" i="44" s="1"/>
  <c r="Q171" i="44" s="1"/>
  <c r="S171" i="44" s="1"/>
  <c r="V171" i="44" s="1"/>
  <c r="W171" i="44" s="1"/>
  <c r="Q69" i="44"/>
  <c r="M155" i="44"/>
  <c r="N155" i="44" s="1"/>
  <c r="Q13" i="44"/>
  <c r="S13" i="44" s="1"/>
  <c r="V13" i="44" s="1"/>
  <c r="W13" i="44" s="1"/>
  <c r="O54" i="44"/>
  <c r="P54" i="44" s="1"/>
  <c r="I18" i="44"/>
  <c r="J18" i="44" s="1"/>
  <c r="K38" i="44"/>
  <c r="L38" i="44" s="1"/>
  <c r="K43" i="44"/>
  <c r="L43" i="44" s="1"/>
  <c r="Q78" i="44"/>
  <c r="O80" i="44"/>
  <c r="P80" i="44" s="1"/>
  <c r="K82" i="44"/>
  <c r="L82" i="44" s="1"/>
  <c r="I113" i="44"/>
  <c r="J113" i="44" s="1"/>
  <c r="I196" i="44"/>
  <c r="J196" i="44" s="1"/>
  <c r="O198" i="44"/>
  <c r="P198" i="44" s="1"/>
  <c r="M202" i="44"/>
  <c r="N202" i="44" s="1"/>
  <c r="I204" i="44"/>
  <c r="J204" i="44" s="1"/>
  <c r="K225" i="44"/>
  <c r="L225" i="44" s="1"/>
  <c r="Q225" i="44" s="1"/>
  <c r="S225" i="44" s="1"/>
  <c r="V225" i="44" s="1"/>
  <c r="W225" i="44" s="1"/>
  <c r="I6" i="44"/>
  <c r="J6" i="44" s="1"/>
  <c r="K11" i="44"/>
  <c r="L11" i="44" s="1"/>
  <c r="K23" i="44"/>
  <c r="L23" i="44" s="1"/>
  <c r="K32" i="44"/>
  <c r="L32" i="44" s="1"/>
  <c r="O34" i="44"/>
  <c r="P34" i="44" s="1"/>
  <c r="O66" i="44"/>
  <c r="P66" i="44" s="1"/>
  <c r="O95" i="44"/>
  <c r="P95" i="44" s="1"/>
  <c r="I136" i="44"/>
  <c r="J136" i="44" s="1"/>
  <c r="Q136" i="44" s="1"/>
  <c r="S136" i="44" s="1"/>
  <c r="V136" i="44" s="1"/>
  <c r="W136" i="44" s="1"/>
  <c r="M144" i="44"/>
  <c r="N144" i="44" s="1"/>
  <c r="O162" i="44"/>
  <c r="P162" i="44" s="1"/>
  <c r="K164" i="44"/>
  <c r="L164" i="44" s="1"/>
  <c r="I169" i="44"/>
  <c r="J169" i="44" s="1"/>
  <c r="K184" i="44"/>
  <c r="L184" i="44" s="1"/>
  <c r="Q184" i="44" s="1"/>
  <c r="S184" i="44" s="1"/>
  <c r="V184" i="44" s="1"/>
  <c r="W184" i="44" s="1"/>
  <c r="M190" i="44"/>
  <c r="N190" i="44" s="1"/>
  <c r="I192" i="44"/>
  <c r="J192" i="44" s="1"/>
  <c r="O202" i="44"/>
  <c r="P202" i="44" s="1"/>
  <c r="M225" i="44"/>
  <c r="N225" i="44" s="1"/>
  <c r="S45" i="45"/>
  <c r="V45" i="45" s="1"/>
  <c r="W45" i="45" s="1"/>
  <c r="Q31" i="45"/>
  <c r="S31" i="45" s="1"/>
  <c r="V31" i="45" s="1"/>
  <c r="W31" i="45" s="1"/>
  <c r="Q21" i="45"/>
  <c r="S21" i="45" s="1"/>
  <c r="V21" i="45" s="1"/>
  <c r="W21" i="45" s="1"/>
  <c r="Q42" i="45"/>
  <c r="S42" i="45" s="1"/>
  <c r="V42" i="45" s="1"/>
  <c r="W42" i="45" s="1"/>
  <c r="Q16" i="45"/>
  <c r="S16" i="45" s="1"/>
  <c r="V16" i="45" s="1"/>
  <c r="W16" i="45" s="1"/>
  <c r="Q19" i="45"/>
  <c r="S19" i="45" s="1"/>
  <c r="V19" i="45" s="1"/>
  <c r="W19" i="45" s="1"/>
  <c r="Q35" i="45"/>
  <c r="S35" i="45" s="1"/>
  <c r="V35" i="45" s="1"/>
  <c r="W35" i="45" s="1"/>
  <c r="Q39" i="45"/>
  <c r="S39" i="45" s="1"/>
  <c r="V39" i="45" s="1"/>
  <c r="W39" i="45" s="1"/>
  <c r="Q41" i="45"/>
  <c r="S41" i="45" s="1"/>
  <c r="V41" i="45" s="1"/>
  <c r="W41" i="45" s="1"/>
  <c r="K7" i="45"/>
  <c r="L7" i="45" s="1"/>
  <c r="K11" i="45"/>
  <c r="L11" i="45" s="1"/>
  <c r="Q11" i="45" s="1"/>
  <c r="S11" i="45" s="1"/>
  <c r="V11" i="45" s="1"/>
  <c r="W11" i="45" s="1"/>
  <c r="K15" i="45"/>
  <c r="L15" i="45" s="1"/>
  <c r="Q15" i="45" s="1"/>
  <c r="S15" i="45" s="1"/>
  <c r="V15" i="45" s="1"/>
  <c r="W15" i="45" s="1"/>
  <c r="K28" i="45"/>
  <c r="L28" i="45" s="1"/>
  <c r="I29" i="45"/>
  <c r="J29" i="45" s="1"/>
  <c r="M37" i="45"/>
  <c r="N37" i="45" s="1"/>
  <c r="M38" i="45"/>
  <c r="N38" i="45" s="1"/>
  <c r="I40" i="45"/>
  <c r="J40" i="45" s="1"/>
  <c r="I49" i="45"/>
  <c r="J49" i="45" s="1"/>
  <c r="Q79" i="45"/>
  <c r="S79" i="45" s="1"/>
  <c r="V79" i="45" s="1"/>
  <c r="W79" i="45" s="1"/>
  <c r="O89" i="45"/>
  <c r="P89" i="45" s="1"/>
  <c r="M89" i="45"/>
  <c r="N89" i="45" s="1"/>
  <c r="K89" i="45"/>
  <c r="L89" i="45" s="1"/>
  <c r="I89" i="45"/>
  <c r="J89" i="45" s="1"/>
  <c r="I17" i="45"/>
  <c r="J17" i="45" s="1"/>
  <c r="I24" i="45"/>
  <c r="J24" i="45" s="1"/>
  <c r="M29" i="45"/>
  <c r="N29" i="45" s="1"/>
  <c r="K46" i="45"/>
  <c r="L46" i="45" s="1"/>
  <c r="M46" i="45"/>
  <c r="N46" i="45" s="1"/>
  <c r="Q47" i="45"/>
  <c r="S47" i="45" s="1"/>
  <c r="V47" i="45" s="1"/>
  <c r="W47" i="45" s="1"/>
  <c r="Q55" i="45"/>
  <c r="S55" i="45" s="1"/>
  <c r="V55" i="45" s="1"/>
  <c r="W55" i="45" s="1"/>
  <c r="K60" i="45"/>
  <c r="L60" i="45" s="1"/>
  <c r="O64" i="45"/>
  <c r="P64" i="45" s="1"/>
  <c r="M64" i="45"/>
  <c r="N64" i="45" s="1"/>
  <c r="O76" i="45"/>
  <c r="P76" i="45" s="1"/>
  <c r="M76" i="45"/>
  <c r="N76" i="45" s="1"/>
  <c r="O111" i="45"/>
  <c r="P111" i="45" s="1"/>
  <c r="M111" i="45"/>
  <c r="N111" i="45" s="1"/>
  <c r="K111" i="45"/>
  <c r="L111" i="45" s="1"/>
  <c r="I111" i="45"/>
  <c r="J111" i="45" s="1"/>
  <c r="I5" i="45"/>
  <c r="J5" i="45" s="1"/>
  <c r="O7" i="45"/>
  <c r="P7" i="45" s="1"/>
  <c r="I9" i="45"/>
  <c r="J9" i="45" s="1"/>
  <c r="O11" i="45"/>
  <c r="P11" i="45" s="1"/>
  <c r="I13" i="45"/>
  <c r="J13" i="45" s="1"/>
  <c r="O15" i="45"/>
  <c r="P15" i="45" s="1"/>
  <c r="K17" i="45"/>
  <c r="L17" i="45" s="1"/>
  <c r="I18" i="45"/>
  <c r="J18" i="45" s="1"/>
  <c r="I32" i="45"/>
  <c r="J32" i="45" s="1"/>
  <c r="I44" i="45"/>
  <c r="J44" i="45" s="1"/>
  <c r="I46" i="45"/>
  <c r="J46" i="45" s="1"/>
  <c r="I64" i="45"/>
  <c r="J64" i="45" s="1"/>
  <c r="O73" i="45"/>
  <c r="P73" i="45" s="1"/>
  <c r="M73" i="45"/>
  <c r="N73" i="45" s="1"/>
  <c r="K73" i="45"/>
  <c r="L73" i="45" s="1"/>
  <c r="I73" i="45"/>
  <c r="J73" i="45" s="1"/>
  <c r="I76" i="45"/>
  <c r="J76" i="45" s="1"/>
  <c r="K96" i="45"/>
  <c r="L96" i="45" s="1"/>
  <c r="Q96" i="45" s="1"/>
  <c r="S96" i="45" s="1"/>
  <c r="V96" i="45" s="1"/>
  <c r="W96" i="45" s="1"/>
  <c r="O96" i="45"/>
  <c r="P96" i="45" s="1"/>
  <c r="M161" i="45"/>
  <c r="N161" i="45" s="1"/>
  <c r="O161" i="45"/>
  <c r="P161" i="45" s="1"/>
  <c r="K161" i="45"/>
  <c r="L161" i="45" s="1"/>
  <c r="I161" i="45"/>
  <c r="J161" i="45" s="1"/>
  <c r="O53" i="45"/>
  <c r="P53" i="45" s="1"/>
  <c r="K53" i="45"/>
  <c r="L53" i="45" s="1"/>
  <c r="I53" i="45"/>
  <c r="J53" i="45" s="1"/>
  <c r="M8" i="45"/>
  <c r="N8" i="45" s="1"/>
  <c r="Q8" i="45" s="1"/>
  <c r="S8" i="45" s="1"/>
  <c r="V8" i="45" s="1"/>
  <c r="W8" i="45" s="1"/>
  <c r="M12" i="45"/>
  <c r="N12" i="45" s="1"/>
  <c r="Q12" i="45" s="1"/>
  <c r="S12" i="45" s="1"/>
  <c r="V12" i="45" s="1"/>
  <c r="W12" i="45" s="1"/>
  <c r="M23" i="45"/>
  <c r="N23" i="45" s="1"/>
  <c r="K24" i="45"/>
  <c r="L24" i="45" s="1"/>
  <c r="I25" i="45"/>
  <c r="J25" i="45" s="1"/>
  <c r="Q25" i="45" s="1"/>
  <c r="S25" i="45" s="1"/>
  <c r="V25" i="45" s="1"/>
  <c r="W25" i="45" s="1"/>
  <c r="I34" i="45"/>
  <c r="J34" i="45" s="1"/>
  <c r="O40" i="45"/>
  <c r="P40" i="45" s="1"/>
  <c r="O52" i="45"/>
  <c r="P52" i="45" s="1"/>
  <c r="M52" i="45"/>
  <c r="N52" i="45" s="1"/>
  <c r="O57" i="45"/>
  <c r="P57" i="45" s="1"/>
  <c r="M57" i="45"/>
  <c r="N57" i="45" s="1"/>
  <c r="K57" i="45"/>
  <c r="L57" i="45" s="1"/>
  <c r="I57" i="45"/>
  <c r="J57" i="45" s="1"/>
  <c r="Q59" i="45"/>
  <c r="S59" i="45" s="1"/>
  <c r="V59" i="45" s="1"/>
  <c r="W59" i="45" s="1"/>
  <c r="K64" i="45"/>
  <c r="L64" i="45" s="1"/>
  <c r="O68" i="45"/>
  <c r="P68" i="45" s="1"/>
  <c r="M68" i="45"/>
  <c r="N68" i="45" s="1"/>
  <c r="K76" i="45"/>
  <c r="L76" i="45" s="1"/>
  <c r="Q83" i="45"/>
  <c r="S83" i="45" s="1"/>
  <c r="V83" i="45" s="1"/>
  <c r="W83" i="45" s="1"/>
  <c r="O93" i="45"/>
  <c r="P93" i="45" s="1"/>
  <c r="M93" i="45"/>
  <c r="N93" i="45" s="1"/>
  <c r="K93" i="45"/>
  <c r="L93" i="45" s="1"/>
  <c r="I93" i="45"/>
  <c r="J93" i="45" s="1"/>
  <c r="Q156" i="45"/>
  <c r="S156" i="45" s="1"/>
  <c r="V156" i="45" s="1"/>
  <c r="W156" i="45" s="1"/>
  <c r="I146" i="45"/>
  <c r="J146" i="45" s="1"/>
  <c r="O146" i="45"/>
  <c r="P146" i="45" s="1"/>
  <c r="M146" i="45"/>
  <c r="N146" i="45" s="1"/>
  <c r="K5" i="45"/>
  <c r="L5" i="45" s="1"/>
  <c r="K9" i="45"/>
  <c r="L9" i="45" s="1"/>
  <c r="K13" i="45"/>
  <c r="L13" i="45" s="1"/>
  <c r="M17" i="45"/>
  <c r="N17" i="45" s="1"/>
  <c r="K18" i="45"/>
  <c r="L18" i="45" s="1"/>
  <c r="K32" i="45"/>
  <c r="L32" i="45" s="1"/>
  <c r="K44" i="45"/>
  <c r="L44" i="45" s="1"/>
  <c r="O88" i="45"/>
  <c r="P88" i="45" s="1"/>
  <c r="M88" i="45"/>
  <c r="N88" i="45" s="1"/>
  <c r="I98" i="45"/>
  <c r="J98" i="45" s="1"/>
  <c r="O98" i="45"/>
  <c r="P98" i="45" s="1"/>
  <c r="M98" i="45"/>
  <c r="N98" i="45" s="1"/>
  <c r="I138" i="45"/>
  <c r="J138" i="45" s="1"/>
  <c r="O138" i="45"/>
  <c r="P138" i="45" s="1"/>
  <c r="M138" i="45"/>
  <c r="N138" i="45" s="1"/>
  <c r="O81" i="45"/>
  <c r="P81" i="45" s="1"/>
  <c r="M81" i="45"/>
  <c r="N81" i="45" s="1"/>
  <c r="K81" i="45"/>
  <c r="L81" i="45" s="1"/>
  <c r="I81" i="45"/>
  <c r="J81" i="45" s="1"/>
  <c r="I6" i="45"/>
  <c r="J6" i="45" s="1"/>
  <c r="Q6" i="45" s="1"/>
  <c r="S6" i="45" s="1"/>
  <c r="V6" i="45" s="1"/>
  <c r="W6" i="45" s="1"/>
  <c r="I10" i="45"/>
  <c r="J10" i="45" s="1"/>
  <c r="Q10" i="45" s="1"/>
  <c r="S10" i="45" s="1"/>
  <c r="V10" i="45" s="1"/>
  <c r="W10" i="45" s="1"/>
  <c r="I14" i="45"/>
  <c r="J14" i="45" s="1"/>
  <c r="Q14" i="45" s="1"/>
  <c r="S14" i="45" s="1"/>
  <c r="V14" i="45" s="1"/>
  <c r="W14" i="45" s="1"/>
  <c r="Q51" i="45"/>
  <c r="S51" i="45" s="1"/>
  <c r="V51" i="45" s="1"/>
  <c r="W51" i="45" s="1"/>
  <c r="K52" i="45"/>
  <c r="L52" i="45" s="1"/>
  <c r="O61" i="45"/>
  <c r="P61" i="45" s="1"/>
  <c r="M61" i="45"/>
  <c r="N61" i="45" s="1"/>
  <c r="K61" i="45"/>
  <c r="L61" i="45" s="1"/>
  <c r="I61" i="45"/>
  <c r="J61" i="45" s="1"/>
  <c r="Q63" i="45"/>
  <c r="S63" i="45" s="1"/>
  <c r="V63" i="45" s="1"/>
  <c r="W63" i="45" s="1"/>
  <c r="K68" i="45"/>
  <c r="L68" i="45" s="1"/>
  <c r="O85" i="45"/>
  <c r="P85" i="45" s="1"/>
  <c r="M85" i="45"/>
  <c r="N85" i="45" s="1"/>
  <c r="K85" i="45"/>
  <c r="L85" i="45" s="1"/>
  <c r="I85" i="45"/>
  <c r="J85" i="45" s="1"/>
  <c r="I88" i="45"/>
  <c r="J88" i="45" s="1"/>
  <c r="K98" i="45"/>
  <c r="L98" i="45" s="1"/>
  <c r="O112" i="45"/>
  <c r="P112" i="45" s="1"/>
  <c r="K112" i="45"/>
  <c r="L112" i="45" s="1"/>
  <c r="M112" i="45"/>
  <c r="N112" i="45" s="1"/>
  <c r="I112" i="45"/>
  <c r="J112" i="45" s="1"/>
  <c r="Q125" i="45"/>
  <c r="S125" i="45" s="1"/>
  <c r="V125" i="45" s="1"/>
  <c r="W125" i="45" s="1"/>
  <c r="K138" i="45"/>
  <c r="L138" i="45" s="1"/>
  <c r="O174" i="45"/>
  <c r="P174" i="45" s="1"/>
  <c r="M174" i="45"/>
  <c r="N174" i="45" s="1"/>
  <c r="K174" i="45"/>
  <c r="L174" i="45" s="1"/>
  <c r="I174" i="45"/>
  <c r="J174" i="45" s="1"/>
  <c r="Q194" i="45"/>
  <c r="S194" i="45" s="1"/>
  <c r="V194" i="45" s="1"/>
  <c r="W194" i="45" s="1"/>
  <c r="O48" i="45"/>
  <c r="P48" i="45" s="1"/>
  <c r="M48" i="45"/>
  <c r="N48" i="45" s="1"/>
  <c r="M5" i="45"/>
  <c r="N5" i="45" s="1"/>
  <c r="M9" i="45"/>
  <c r="N9" i="45" s="1"/>
  <c r="M13" i="45"/>
  <c r="N13" i="45" s="1"/>
  <c r="M18" i="45"/>
  <c r="N18" i="45" s="1"/>
  <c r="S22" i="45"/>
  <c r="V22" i="45" s="1"/>
  <c r="W22" i="45" s="1"/>
  <c r="O24" i="45"/>
  <c r="P24" i="45" s="1"/>
  <c r="O46" i="45"/>
  <c r="P46" i="45" s="1"/>
  <c r="O80" i="45"/>
  <c r="P80" i="45" s="1"/>
  <c r="M80" i="45"/>
  <c r="N80" i="45" s="1"/>
  <c r="Q95" i="45"/>
  <c r="S95" i="45" s="1"/>
  <c r="V95" i="45" s="1"/>
  <c r="W95" i="45" s="1"/>
  <c r="I154" i="45"/>
  <c r="J154" i="45" s="1"/>
  <c r="O154" i="45"/>
  <c r="P154" i="45" s="1"/>
  <c r="M154" i="45"/>
  <c r="N154" i="45" s="1"/>
  <c r="O32" i="45"/>
  <c r="P32" i="45" s="1"/>
  <c r="I37" i="45"/>
  <c r="J37" i="45" s="1"/>
  <c r="Q37" i="45" s="1"/>
  <c r="S37" i="45" s="1"/>
  <c r="V37" i="45" s="1"/>
  <c r="W37" i="45" s="1"/>
  <c r="I38" i="45"/>
  <c r="J38" i="45" s="1"/>
  <c r="Q38" i="45" s="1"/>
  <c r="S38" i="45" s="1"/>
  <c r="V38" i="45" s="1"/>
  <c r="W38" i="45" s="1"/>
  <c r="O44" i="45"/>
  <c r="P44" i="45" s="1"/>
  <c r="O65" i="45"/>
  <c r="P65" i="45" s="1"/>
  <c r="M65" i="45"/>
  <c r="N65" i="45" s="1"/>
  <c r="K65" i="45"/>
  <c r="L65" i="45" s="1"/>
  <c r="I65" i="45"/>
  <c r="J65" i="45" s="1"/>
  <c r="Q67" i="45"/>
  <c r="S67" i="45" s="1"/>
  <c r="V67" i="45" s="1"/>
  <c r="W67" i="45" s="1"/>
  <c r="O77" i="45"/>
  <c r="P77" i="45" s="1"/>
  <c r="M77" i="45"/>
  <c r="N77" i="45" s="1"/>
  <c r="K77" i="45"/>
  <c r="L77" i="45" s="1"/>
  <c r="I77" i="45"/>
  <c r="J77" i="45" s="1"/>
  <c r="Q141" i="45"/>
  <c r="S141" i="45" s="1"/>
  <c r="V141" i="45" s="1"/>
  <c r="W141" i="45" s="1"/>
  <c r="K154" i="45"/>
  <c r="L154" i="45" s="1"/>
  <c r="O84" i="45"/>
  <c r="P84" i="45" s="1"/>
  <c r="M84" i="45"/>
  <c r="N84" i="45" s="1"/>
  <c r="I48" i="45"/>
  <c r="J48" i="45" s="1"/>
  <c r="Q48" i="45" s="1"/>
  <c r="S48" i="45" s="1"/>
  <c r="V48" i="45" s="1"/>
  <c r="W48" i="45" s="1"/>
  <c r="O107" i="45"/>
  <c r="P107" i="45" s="1"/>
  <c r="M107" i="45"/>
  <c r="N107" i="45" s="1"/>
  <c r="K107" i="45"/>
  <c r="L107" i="45" s="1"/>
  <c r="I107" i="45"/>
  <c r="J107" i="45" s="1"/>
  <c r="K20" i="45"/>
  <c r="L20" i="45" s="1"/>
  <c r="Q20" i="45" s="1"/>
  <c r="S20" i="45" s="1"/>
  <c r="V20" i="45" s="1"/>
  <c r="W20" i="45" s="1"/>
  <c r="I28" i="45"/>
  <c r="J28" i="45" s="1"/>
  <c r="Q28" i="45" s="1"/>
  <c r="S28" i="45" s="1"/>
  <c r="V28" i="45" s="1"/>
  <c r="W28" i="45" s="1"/>
  <c r="O34" i="45"/>
  <c r="P34" i="45" s="1"/>
  <c r="K36" i="45"/>
  <c r="L36" i="45" s="1"/>
  <c r="Q36" i="45" s="1"/>
  <c r="S36" i="45" s="1"/>
  <c r="V36" i="45" s="1"/>
  <c r="W36" i="45" s="1"/>
  <c r="O72" i="45"/>
  <c r="P72" i="45" s="1"/>
  <c r="M72" i="45"/>
  <c r="N72" i="45" s="1"/>
  <c r="Q72" i="45" s="1"/>
  <c r="S72" i="45" s="1"/>
  <c r="V72" i="45" s="1"/>
  <c r="W72" i="45" s="1"/>
  <c r="K80" i="45"/>
  <c r="L80" i="45" s="1"/>
  <c r="Q80" i="45" s="1"/>
  <c r="S80" i="45" s="1"/>
  <c r="V80" i="45" s="1"/>
  <c r="W80" i="45" s="1"/>
  <c r="Q87" i="45"/>
  <c r="S87" i="45" s="1"/>
  <c r="V87" i="45" s="1"/>
  <c r="W87" i="45" s="1"/>
  <c r="Q97" i="45"/>
  <c r="S97" i="45" s="1"/>
  <c r="V97" i="45" s="1"/>
  <c r="W97" i="45" s="1"/>
  <c r="O104" i="45"/>
  <c r="P104" i="45" s="1"/>
  <c r="K104" i="45"/>
  <c r="L104" i="45" s="1"/>
  <c r="M104" i="45"/>
  <c r="N104" i="45" s="1"/>
  <c r="I104" i="45"/>
  <c r="J104" i="45" s="1"/>
  <c r="I106" i="45"/>
  <c r="J106" i="45" s="1"/>
  <c r="O106" i="45"/>
  <c r="P106" i="45" s="1"/>
  <c r="M106" i="45"/>
  <c r="N106" i="45" s="1"/>
  <c r="K106" i="45"/>
  <c r="L106" i="45" s="1"/>
  <c r="I118" i="45"/>
  <c r="J118" i="45" s="1"/>
  <c r="M118" i="45"/>
  <c r="N118" i="45" s="1"/>
  <c r="O118" i="45"/>
  <c r="P118" i="45" s="1"/>
  <c r="K118" i="45"/>
  <c r="L118" i="45" s="1"/>
  <c r="O60" i="45"/>
  <c r="P60" i="45" s="1"/>
  <c r="M60" i="45"/>
  <c r="N60" i="45" s="1"/>
  <c r="S82" i="45"/>
  <c r="V82" i="45" s="1"/>
  <c r="W82" i="45" s="1"/>
  <c r="I84" i="45"/>
  <c r="J84" i="45" s="1"/>
  <c r="Q84" i="45" s="1"/>
  <c r="S84" i="45" s="1"/>
  <c r="V84" i="45" s="1"/>
  <c r="W84" i="45" s="1"/>
  <c r="K146" i="45"/>
  <c r="L146" i="45" s="1"/>
  <c r="O56" i="45"/>
  <c r="P56" i="45" s="1"/>
  <c r="M56" i="45"/>
  <c r="N56" i="45" s="1"/>
  <c r="Q56" i="45" s="1"/>
  <c r="S56" i="45" s="1"/>
  <c r="V56" i="45" s="1"/>
  <c r="W56" i="45" s="1"/>
  <c r="O69" i="45"/>
  <c r="P69" i="45" s="1"/>
  <c r="M69" i="45"/>
  <c r="N69" i="45" s="1"/>
  <c r="K69" i="45"/>
  <c r="L69" i="45" s="1"/>
  <c r="I69" i="45"/>
  <c r="J69" i="45" s="1"/>
  <c r="Q69" i="45" s="1"/>
  <c r="S69" i="45" s="1"/>
  <c r="V69" i="45" s="1"/>
  <c r="W69" i="45" s="1"/>
  <c r="S90" i="45"/>
  <c r="V90" i="45" s="1"/>
  <c r="W90" i="45" s="1"/>
  <c r="O92" i="45"/>
  <c r="P92" i="45" s="1"/>
  <c r="M92" i="45"/>
  <c r="N92" i="45" s="1"/>
  <c r="O99" i="45"/>
  <c r="P99" i="45" s="1"/>
  <c r="M99" i="45"/>
  <c r="N99" i="45" s="1"/>
  <c r="K99" i="45"/>
  <c r="L99" i="45" s="1"/>
  <c r="I99" i="45"/>
  <c r="J99" i="45" s="1"/>
  <c r="Q113" i="45"/>
  <c r="I130" i="45"/>
  <c r="J130" i="45" s="1"/>
  <c r="O130" i="45"/>
  <c r="P130" i="45" s="1"/>
  <c r="M130" i="45"/>
  <c r="N130" i="45" s="1"/>
  <c r="Q157" i="45"/>
  <c r="M50" i="45"/>
  <c r="N50" i="45" s="1"/>
  <c r="M54" i="45"/>
  <c r="N54" i="45" s="1"/>
  <c r="Q114" i="45"/>
  <c r="S114" i="45" s="1"/>
  <c r="V114" i="45" s="1"/>
  <c r="W114" i="45" s="1"/>
  <c r="I122" i="45"/>
  <c r="J122" i="45" s="1"/>
  <c r="Q122" i="45" s="1"/>
  <c r="S122" i="45" s="1"/>
  <c r="V122" i="45" s="1"/>
  <c r="W122" i="45" s="1"/>
  <c r="M122" i="45"/>
  <c r="N122" i="45" s="1"/>
  <c r="O191" i="45"/>
  <c r="P191" i="45" s="1"/>
  <c r="M191" i="45"/>
  <c r="N191" i="45" s="1"/>
  <c r="K191" i="45"/>
  <c r="L191" i="45" s="1"/>
  <c r="I191" i="45"/>
  <c r="J191" i="45" s="1"/>
  <c r="Q191" i="45" s="1"/>
  <c r="S191" i="45" s="1"/>
  <c r="V191" i="45" s="1"/>
  <c r="W191" i="45" s="1"/>
  <c r="O100" i="45"/>
  <c r="P100" i="45" s="1"/>
  <c r="K100" i="45"/>
  <c r="L100" i="45" s="1"/>
  <c r="Q100" i="45" s="1"/>
  <c r="S100" i="45" s="1"/>
  <c r="V100" i="45" s="1"/>
  <c r="W100" i="45" s="1"/>
  <c r="O127" i="45"/>
  <c r="P127" i="45" s="1"/>
  <c r="M127" i="45"/>
  <c r="N127" i="45" s="1"/>
  <c r="K127" i="45"/>
  <c r="L127" i="45" s="1"/>
  <c r="Q127" i="45" s="1"/>
  <c r="S127" i="45" s="1"/>
  <c r="V127" i="45" s="1"/>
  <c r="W127" i="45" s="1"/>
  <c r="O135" i="45"/>
  <c r="P135" i="45" s="1"/>
  <c r="M135" i="45"/>
  <c r="N135" i="45" s="1"/>
  <c r="K135" i="45"/>
  <c r="L135" i="45" s="1"/>
  <c r="O143" i="45"/>
  <c r="P143" i="45" s="1"/>
  <c r="M143" i="45"/>
  <c r="N143" i="45" s="1"/>
  <c r="K143" i="45"/>
  <c r="L143" i="45" s="1"/>
  <c r="Q143" i="45" s="1"/>
  <c r="S143" i="45" s="1"/>
  <c r="V143" i="45" s="1"/>
  <c r="W143" i="45" s="1"/>
  <c r="O151" i="45"/>
  <c r="P151" i="45" s="1"/>
  <c r="M151" i="45"/>
  <c r="N151" i="45" s="1"/>
  <c r="K151" i="45"/>
  <c r="L151" i="45" s="1"/>
  <c r="Q151" i="45" s="1"/>
  <c r="S151" i="45" s="1"/>
  <c r="V151" i="45" s="1"/>
  <c r="W151" i="45" s="1"/>
  <c r="M159" i="45"/>
  <c r="N159" i="45" s="1"/>
  <c r="O159" i="45"/>
  <c r="P159" i="45" s="1"/>
  <c r="K159" i="45"/>
  <c r="L159" i="45" s="1"/>
  <c r="Q159" i="45" s="1"/>
  <c r="S159" i="45" s="1"/>
  <c r="V159" i="45" s="1"/>
  <c r="W159" i="45" s="1"/>
  <c r="O179" i="45"/>
  <c r="P179" i="45" s="1"/>
  <c r="M179" i="45"/>
  <c r="N179" i="45" s="1"/>
  <c r="I179" i="45"/>
  <c r="J179" i="45" s="1"/>
  <c r="K179" i="45"/>
  <c r="L179" i="45" s="1"/>
  <c r="O108" i="45"/>
  <c r="P108" i="45" s="1"/>
  <c r="K108" i="45"/>
  <c r="L108" i="45" s="1"/>
  <c r="M197" i="45"/>
  <c r="N197" i="45" s="1"/>
  <c r="K197" i="45"/>
  <c r="L197" i="45" s="1"/>
  <c r="I197" i="45"/>
  <c r="J197" i="45" s="1"/>
  <c r="Q197" i="45" s="1"/>
  <c r="S197" i="45" s="1"/>
  <c r="V197" i="45" s="1"/>
  <c r="W197" i="45" s="1"/>
  <c r="O197" i="45"/>
  <c r="P197" i="45" s="1"/>
  <c r="M100" i="45"/>
  <c r="N100" i="45" s="1"/>
  <c r="K103" i="45"/>
  <c r="L103" i="45" s="1"/>
  <c r="Q103" i="45" s="1"/>
  <c r="S103" i="45" s="1"/>
  <c r="V103" i="45" s="1"/>
  <c r="W103" i="45" s="1"/>
  <c r="I108" i="45"/>
  <c r="J108" i="45" s="1"/>
  <c r="Q121" i="45"/>
  <c r="S157" i="45"/>
  <c r="V157" i="45" s="1"/>
  <c r="W157" i="45" s="1"/>
  <c r="M102" i="45"/>
  <c r="N102" i="45" s="1"/>
  <c r="K110" i="45"/>
  <c r="L110" i="45" s="1"/>
  <c r="I50" i="45"/>
  <c r="J50" i="45" s="1"/>
  <c r="I54" i="45"/>
  <c r="J54" i="45" s="1"/>
  <c r="I58" i="45"/>
  <c r="J58" i="45" s="1"/>
  <c r="Q58" i="45" s="1"/>
  <c r="S58" i="45" s="1"/>
  <c r="V58" i="45" s="1"/>
  <c r="W58" i="45" s="1"/>
  <c r="I62" i="45"/>
  <c r="J62" i="45" s="1"/>
  <c r="Q62" i="45" s="1"/>
  <c r="S62" i="45" s="1"/>
  <c r="V62" i="45" s="1"/>
  <c r="W62" i="45" s="1"/>
  <c r="I66" i="45"/>
  <c r="J66" i="45" s="1"/>
  <c r="Q66" i="45" s="1"/>
  <c r="S66" i="45" s="1"/>
  <c r="V66" i="45" s="1"/>
  <c r="W66" i="45" s="1"/>
  <c r="M103" i="45"/>
  <c r="N103" i="45" s="1"/>
  <c r="M108" i="45"/>
  <c r="N108" i="45" s="1"/>
  <c r="O116" i="45"/>
  <c r="P116" i="45" s="1"/>
  <c r="M116" i="45"/>
  <c r="N116" i="45" s="1"/>
  <c r="K116" i="45"/>
  <c r="L116" i="45" s="1"/>
  <c r="Q116" i="45" s="1"/>
  <c r="S116" i="45" s="1"/>
  <c r="V116" i="45" s="1"/>
  <c r="W116" i="45" s="1"/>
  <c r="O123" i="45"/>
  <c r="P123" i="45" s="1"/>
  <c r="M123" i="45"/>
  <c r="N123" i="45" s="1"/>
  <c r="K123" i="45"/>
  <c r="L123" i="45" s="1"/>
  <c r="Q123" i="45" s="1"/>
  <c r="S123" i="45" s="1"/>
  <c r="V123" i="45" s="1"/>
  <c r="W123" i="45" s="1"/>
  <c r="I126" i="45"/>
  <c r="J126" i="45" s="1"/>
  <c r="O126" i="45"/>
  <c r="P126" i="45" s="1"/>
  <c r="M126" i="45"/>
  <c r="N126" i="45" s="1"/>
  <c r="Q129" i="45"/>
  <c r="S129" i="45" s="1"/>
  <c r="V129" i="45" s="1"/>
  <c r="W129" i="45" s="1"/>
  <c r="I134" i="45"/>
  <c r="J134" i="45" s="1"/>
  <c r="O134" i="45"/>
  <c r="P134" i="45" s="1"/>
  <c r="M134" i="45"/>
  <c r="N134" i="45" s="1"/>
  <c r="I142" i="45"/>
  <c r="J142" i="45" s="1"/>
  <c r="O142" i="45"/>
  <c r="P142" i="45" s="1"/>
  <c r="M142" i="45"/>
  <c r="N142" i="45" s="1"/>
  <c r="I150" i="45"/>
  <c r="J150" i="45" s="1"/>
  <c r="O150" i="45"/>
  <c r="P150" i="45" s="1"/>
  <c r="M150" i="45"/>
  <c r="N150" i="45" s="1"/>
  <c r="Q153" i="45"/>
  <c r="S153" i="45" s="1"/>
  <c r="V153" i="45" s="1"/>
  <c r="W153" i="45" s="1"/>
  <c r="I158" i="45"/>
  <c r="J158" i="45" s="1"/>
  <c r="O158" i="45"/>
  <c r="P158" i="45" s="1"/>
  <c r="M158" i="45"/>
  <c r="N158" i="45" s="1"/>
  <c r="S113" i="45"/>
  <c r="V113" i="45" s="1"/>
  <c r="W113" i="45" s="1"/>
  <c r="O115" i="45"/>
  <c r="P115" i="45" s="1"/>
  <c r="M115" i="45"/>
  <c r="N115" i="45" s="1"/>
  <c r="O131" i="45"/>
  <c r="P131" i="45" s="1"/>
  <c r="M131" i="45"/>
  <c r="N131" i="45" s="1"/>
  <c r="K131" i="45"/>
  <c r="L131" i="45" s="1"/>
  <c r="O139" i="45"/>
  <c r="P139" i="45" s="1"/>
  <c r="M139" i="45"/>
  <c r="N139" i="45" s="1"/>
  <c r="K139" i="45"/>
  <c r="L139" i="45" s="1"/>
  <c r="O147" i="45"/>
  <c r="P147" i="45" s="1"/>
  <c r="M147" i="45"/>
  <c r="N147" i="45" s="1"/>
  <c r="K147" i="45"/>
  <c r="L147" i="45" s="1"/>
  <c r="O155" i="45"/>
  <c r="P155" i="45" s="1"/>
  <c r="M155" i="45"/>
  <c r="N155" i="45" s="1"/>
  <c r="K155" i="45"/>
  <c r="L155" i="45" s="1"/>
  <c r="O160" i="45"/>
  <c r="P160" i="45" s="1"/>
  <c r="M160" i="45"/>
  <c r="N160" i="45" s="1"/>
  <c r="K160" i="45"/>
  <c r="L160" i="45" s="1"/>
  <c r="I160" i="45"/>
  <c r="J160" i="45" s="1"/>
  <c r="S165" i="45"/>
  <c r="V165" i="45" s="1"/>
  <c r="W165" i="45" s="1"/>
  <c r="I188" i="45"/>
  <c r="J188" i="45" s="1"/>
  <c r="O188" i="45"/>
  <c r="P188" i="45" s="1"/>
  <c r="M188" i="45"/>
  <c r="N188" i="45" s="1"/>
  <c r="M205" i="45"/>
  <c r="N205" i="45" s="1"/>
  <c r="K205" i="45"/>
  <c r="L205" i="45" s="1"/>
  <c r="I205" i="45"/>
  <c r="J205" i="45" s="1"/>
  <c r="O205" i="45"/>
  <c r="P205" i="45" s="1"/>
  <c r="I115" i="45"/>
  <c r="J115" i="45" s="1"/>
  <c r="O119" i="45"/>
  <c r="P119" i="45" s="1"/>
  <c r="M119" i="45"/>
  <c r="N119" i="45" s="1"/>
  <c r="Q119" i="45" s="1"/>
  <c r="S119" i="45" s="1"/>
  <c r="V119" i="45" s="1"/>
  <c r="W119" i="45" s="1"/>
  <c r="S121" i="45"/>
  <c r="V121" i="45" s="1"/>
  <c r="W121" i="45" s="1"/>
  <c r="K126" i="45"/>
  <c r="L126" i="45" s="1"/>
  <c r="I131" i="45"/>
  <c r="J131" i="45" s="1"/>
  <c r="K134" i="45"/>
  <c r="L134" i="45" s="1"/>
  <c r="I139" i="45"/>
  <c r="J139" i="45" s="1"/>
  <c r="K142" i="45"/>
  <c r="L142" i="45" s="1"/>
  <c r="I147" i="45"/>
  <c r="J147" i="45" s="1"/>
  <c r="K150" i="45"/>
  <c r="L150" i="45" s="1"/>
  <c r="I155" i="45"/>
  <c r="J155" i="45" s="1"/>
  <c r="K158" i="45"/>
  <c r="L158" i="45" s="1"/>
  <c r="I168" i="45"/>
  <c r="J168" i="45" s="1"/>
  <c r="O168" i="45"/>
  <c r="P168" i="45" s="1"/>
  <c r="M168" i="45"/>
  <c r="N168" i="45" s="1"/>
  <c r="K188" i="45"/>
  <c r="L188" i="45" s="1"/>
  <c r="O110" i="45"/>
  <c r="P110" i="45" s="1"/>
  <c r="S117" i="45"/>
  <c r="V117" i="45" s="1"/>
  <c r="W117" i="45" s="1"/>
  <c r="Q164" i="45"/>
  <c r="S164" i="45" s="1"/>
  <c r="V164" i="45" s="1"/>
  <c r="W164" i="45" s="1"/>
  <c r="M173" i="45"/>
  <c r="N173" i="45" s="1"/>
  <c r="I173" i="45"/>
  <c r="J173" i="45" s="1"/>
  <c r="O173" i="45"/>
  <c r="P173" i="45" s="1"/>
  <c r="O183" i="45"/>
  <c r="P183" i="45" s="1"/>
  <c r="M183" i="45"/>
  <c r="N183" i="45" s="1"/>
  <c r="I183" i="45"/>
  <c r="J183" i="45" s="1"/>
  <c r="Q183" i="45" s="1"/>
  <c r="S183" i="45" s="1"/>
  <c r="V183" i="45" s="1"/>
  <c r="W183" i="45" s="1"/>
  <c r="Q210" i="45"/>
  <c r="S210" i="45" s="1"/>
  <c r="V210" i="45" s="1"/>
  <c r="W210" i="45" s="1"/>
  <c r="Q223" i="45"/>
  <c r="S223" i="45" s="1"/>
  <c r="V223" i="45" s="1"/>
  <c r="W223" i="45" s="1"/>
  <c r="M167" i="45"/>
  <c r="N167" i="45" s="1"/>
  <c r="I167" i="45"/>
  <c r="J167" i="45" s="1"/>
  <c r="I178" i="45"/>
  <c r="J178" i="45" s="1"/>
  <c r="O216" i="45"/>
  <c r="P216" i="45" s="1"/>
  <c r="M216" i="45"/>
  <c r="N216" i="45" s="1"/>
  <c r="K216" i="45"/>
  <c r="L216" i="45" s="1"/>
  <c r="I216" i="45"/>
  <c r="J216" i="45" s="1"/>
  <c r="Q216" i="45" s="1"/>
  <c r="S216" i="45" s="1"/>
  <c r="V216" i="45" s="1"/>
  <c r="W216" i="45" s="1"/>
  <c r="I162" i="45"/>
  <c r="J162" i="45" s="1"/>
  <c r="K173" i="45"/>
  <c r="L173" i="45" s="1"/>
  <c r="M177" i="45"/>
  <c r="N177" i="45" s="1"/>
  <c r="I177" i="45"/>
  <c r="J177" i="45" s="1"/>
  <c r="O177" i="45"/>
  <c r="P177" i="45" s="1"/>
  <c r="K178" i="45"/>
  <c r="L178" i="45" s="1"/>
  <c r="K183" i="45"/>
  <c r="L183" i="45" s="1"/>
  <c r="O187" i="45"/>
  <c r="P187" i="45" s="1"/>
  <c r="M187" i="45"/>
  <c r="N187" i="45" s="1"/>
  <c r="I187" i="45"/>
  <c r="J187" i="45" s="1"/>
  <c r="M193" i="45"/>
  <c r="N193" i="45" s="1"/>
  <c r="K193" i="45"/>
  <c r="L193" i="45" s="1"/>
  <c r="I193" i="45"/>
  <c r="J193" i="45" s="1"/>
  <c r="O193" i="45"/>
  <c r="P193" i="45" s="1"/>
  <c r="M178" i="45"/>
  <c r="N178" i="45" s="1"/>
  <c r="O199" i="45"/>
  <c r="P199" i="45" s="1"/>
  <c r="M199" i="45"/>
  <c r="N199" i="45" s="1"/>
  <c r="K199" i="45"/>
  <c r="L199" i="45" s="1"/>
  <c r="I199" i="45"/>
  <c r="J199" i="45" s="1"/>
  <c r="I166" i="45"/>
  <c r="J166" i="45" s="1"/>
  <c r="M181" i="45"/>
  <c r="N181" i="45" s="1"/>
  <c r="I181" i="45"/>
  <c r="J181" i="45" s="1"/>
  <c r="O181" i="45"/>
  <c r="P181" i="45" s="1"/>
  <c r="Q219" i="45"/>
  <c r="S219" i="45" s="1"/>
  <c r="V219" i="45" s="1"/>
  <c r="W219" i="45" s="1"/>
  <c r="K120" i="45"/>
  <c r="L120" i="45" s="1"/>
  <c r="Q120" i="45" s="1"/>
  <c r="S120" i="45" s="1"/>
  <c r="V120" i="45" s="1"/>
  <c r="W120" i="45" s="1"/>
  <c r="K124" i="45"/>
  <c r="L124" i="45" s="1"/>
  <c r="Q124" i="45" s="1"/>
  <c r="S124" i="45" s="1"/>
  <c r="V124" i="45" s="1"/>
  <c r="W124" i="45" s="1"/>
  <c r="K128" i="45"/>
  <c r="L128" i="45" s="1"/>
  <c r="K132" i="45"/>
  <c r="L132" i="45" s="1"/>
  <c r="Q132" i="45" s="1"/>
  <c r="S132" i="45" s="1"/>
  <c r="V132" i="45" s="1"/>
  <c r="W132" i="45" s="1"/>
  <c r="K136" i="45"/>
  <c r="L136" i="45" s="1"/>
  <c r="Q136" i="45" s="1"/>
  <c r="S136" i="45" s="1"/>
  <c r="V136" i="45" s="1"/>
  <c r="W136" i="45" s="1"/>
  <c r="K140" i="45"/>
  <c r="L140" i="45" s="1"/>
  <c r="Q140" i="45" s="1"/>
  <c r="S140" i="45" s="1"/>
  <c r="V140" i="45" s="1"/>
  <c r="W140" i="45" s="1"/>
  <c r="K144" i="45"/>
  <c r="L144" i="45" s="1"/>
  <c r="K148" i="45"/>
  <c r="L148" i="45" s="1"/>
  <c r="K152" i="45"/>
  <c r="L152" i="45" s="1"/>
  <c r="K156" i="45"/>
  <c r="L156" i="45" s="1"/>
  <c r="M162" i="45"/>
  <c r="N162" i="45" s="1"/>
  <c r="K165" i="45"/>
  <c r="L165" i="45" s="1"/>
  <c r="Q165" i="45" s="1"/>
  <c r="K166" i="45"/>
  <c r="L166" i="45" s="1"/>
  <c r="O167" i="45"/>
  <c r="P167" i="45" s="1"/>
  <c r="M172" i="45"/>
  <c r="N172" i="45" s="1"/>
  <c r="M182" i="45"/>
  <c r="N182" i="45" s="1"/>
  <c r="Q182" i="45" s="1"/>
  <c r="S182" i="45" s="1"/>
  <c r="V182" i="45" s="1"/>
  <c r="W182" i="45" s="1"/>
  <c r="I186" i="45"/>
  <c r="J186" i="45" s="1"/>
  <c r="Q186" i="45" s="1"/>
  <c r="S186" i="45" s="1"/>
  <c r="V186" i="45" s="1"/>
  <c r="W186" i="45" s="1"/>
  <c r="O211" i="45"/>
  <c r="P211" i="45" s="1"/>
  <c r="M211" i="45"/>
  <c r="N211" i="45" s="1"/>
  <c r="K211" i="45"/>
  <c r="L211" i="45" s="1"/>
  <c r="I211" i="45"/>
  <c r="J211" i="45" s="1"/>
  <c r="O224" i="45"/>
  <c r="P224" i="45" s="1"/>
  <c r="M224" i="45"/>
  <c r="N224" i="45" s="1"/>
  <c r="K224" i="45"/>
  <c r="L224" i="45" s="1"/>
  <c r="I224" i="45"/>
  <c r="J224" i="45" s="1"/>
  <c r="M166" i="45"/>
  <c r="N166" i="45" s="1"/>
  <c r="O171" i="45"/>
  <c r="P171" i="45" s="1"/>
  <c r="M171" i="45"/>
  <c r="N171" i="45" s="1"/>
  <c r="I171" i="45"/>
  <c r="J171" i="45" s="1"/>
  <c r="Q171" i="45" s="1"/>
  <c r="S171" i="45" s="1"/>
  <c r="V171" i="45" s="1"/>
  <c r="W171" i="45" s="1"/>
  <c r="K181" i="45"/>
  <c r="L181" i="45" s="1"/>
  <c r="M185" i="45"/>
  <c r="N185" i="45" s="1"/>
  <c r="I185" i="45"/>
  <c r="J185" i="45" s="1"/>
  <c r="O185" i="45"/>
  <c r="P185" i="45" s="1"/>
  <c r="K186" i="45"/>
  <c r="L186" i="45" s="1"/>
  <c r="M189" i="45"/>
  <c r="N189" i="45" s="1"/>
  <c r="K189" i="45"/>
  <c r="L189" i="45" s="1"/>
  <c r="I189" i="45"/>
  <c r="J189" i="45" s="1"/>
  <c r="O189" i="45"/>
  <c r="P189" i="45" s="1"/>
  <c r="M201" i="45"/>
  <c r="N201" i="45" s="1"/>
  <c r="K201" i="45"/>
  <c r="L201" i="45" s="1"/>
  <c r="I201" i="45"/>
  <c r="J201" i="45" s="1"/>
  <c r="O201" i="45"/>
  <c r="P201" i="45" s="1"/>
  <c r="M120" i="45"/>
  <c r="N120" i="45" s="1"/>
  <c r="M124" i="45"/>
  <c r="N124" i="45" s="1"/>
  <c r="M128" i="45"/>
  <c r="N128" i="45" s="1"/>
  <c r="M132" i="45"/>
  <c r="N132" i="45" s="1"/>
  <c r="M136" i="45"/>
  <c r="N136" i="45" s="1"/>
  <c r="M140" i="45"/>
  <c r="N140" i="45" s="1"/>
  <c r="M144" i="45"/>
  <c r="N144" i="45" s="1"/>
  <c r="M148" i="45"/>
  <c r="N148" i="45" s="1"/>
  <c r="M152" i="45"/>
  <c r="N152" i="45" s="1"/>
  <c r="M156" i="45"/>
  <c r="N156" i="45" s="1"/>
  <c r="O163" i="45"/>
  <c r="P163" i="45" s="1"/>
  <c r="Q163" i="45" s="1"/>
  <c r="S163" i="45" s="1"/>
  <c r="V163" i="45" s="1"/>
  <c r="W163" i="45" s="1"/>
  <c r="O172" i="45"/>
  <c r="P172" i="45" s="1"/>
  <c r="Q172" i="45" s="1"/>
  <c r="S172" i="45" s="1"/>
  <c r="V172" i="45" s="1"/>
  <c r="W172" i="45" s="1"/>
  <c r="M186" i="45"/>
  <c r="N186" i="45" s="1"/>
  <c r="O195" i="45"/>
  <c r="P195" i="45" s="1"/>
  <c r="M195" i="45"/>
  <c r="N195" i="45" s="1"/>
  <c r="K195" i="45"/>
  <c r="L195" i="45" s="1"/>
  <c r="I195" i="45"/>
  <c r="J195" i="45" s="1"/>
  <c r="Q195" i="45" s="1"/>
  <c r="S195" i="45" s="1"/>
  <c r="V195" i="45" s="1"/>
  <c r="W195" i="45" s="1"/>
  <c r="O175" i="45"/>
  <c r="P175" i="45" s="1"/>
  <c r="M175" i="45"/>
  <c r="N175" i="45" s="1"/>
  <c r="I175" i="45"/>
  <c r="J175" i="45" s="1"/>
  <c r="K180" i="45"/>
  <c r="L180" i="45" s="1"/>
  <c r="Q215" i="45"/>
  <c r="S215" i="45" s="1"/>
  <c r="V215" i="45" s="1"/>
  <c r="W215" i="45" s="1"/>
  <c r="M169" i="45"/>
  <c r="N169" i="45" s="1"/>
  <c r="O169" i="45"/>
  <c r="P169" i="45" s="1"/>
  <c r="I170" i="45"/>
  <c r="J170" i="45" s="1"/>
  <c r="Q170" i="45" s="1"/>
  <c r="S170" i="45" s="1"/>
  <c r="V170" i="45" s="1"/>
  <c r="W170" i="45" s="1"/>
  <c r="O176" i="45"/>
  <c r="P176" i="45" s="1"/>
  <c r="Q176" i="45" s="1"/>
  <c r="S176" i="45" s="1"/>
  <c r="V176" i="45" s="1"/>
  <c r="W176" i="45" s="1"/>
  <c r="M180" i="45"/>
  <c r="N180" i="45" s="1"/>
  <c r="O203" i="45"/>
  <c r="P203" i="45" s="1"/>
  <c r="M203" i="45"/>
  <c r="N203" i="45" s="1"/>
  <c r="K203" i="45"/>
  <c r="L203" i="45" s="1"/>
  <c r="I203" i="45"/>
  <c r="J203" i="45" s="1"/>
  <c r="O207" i="45"/>
  <c r="P207" i="45" s="1"/>
  <c r="M207" i="45"/>
  <c r="N207" i="45" s="1"/>
  <c r="K207" i="45"/>
  <c r="L207" i="45" s="1"/>
  <c r="I207" i="45"/>
  <c r="J207" i="45" s="1"/>
  <c r="O220" i="45"/>
  <c r="P220" i="45" s="1"/>
  <c r="M220" i="45"/>
  <c r="N220" i="45" s="1"/>
  <c r="K220" i="45"/>
  <c r="L220" i="45" s="1"/>
  <c r="I220" i="45"/>
  <c r="J220" i="45" s="1"/>
  <c r="O209" i="45"/>
  <c r="P209" i="45" s="1"/>
  <c r="O213" i="45"/>
  <c r="P213" i="45" s="1"/>
  <c r="O218" i="45"/>
  <c r="P218" i="45" s="1"/>
  <c r="O222" i="45"/>
  <c r="P222" i="45" s="1"/>
  <c r="O226" i="45"/>
  <c r="P226" i="45" s="1"/>
  <c r="M227" i="45"/>
  <c r="N227" i="45" s="1"/>
  <c r="Q227" i="45" s="1"/>
  <c r="S227" i="45" s="1"/>
  <c r="V227" i="45" s="1"/>
  <c r="W227" i="45" s="1"/>
  <c r="I225" i="45"/>
  <c r="J225" i="45" s="1"/>
  <c r="O227" i="45"/>
  <c r="P227" i="45" s="1"/>
  <c r="I209" i="45"/>
  <c r="J209" i="45" s="1"/>
  <c r="I213" i="45"/>
  <c r="J213" i="45" s="1"/>
  <c r="I218" i="45"/>
  <c r="J218" i="45" s="1"/>
  <c r="I222" i="45"/>
  <c r="J222" i="45" s="1"/>
  <c r="I226" i="45"/>
  <c r="J226" i="45" s="1"/>
  <c r="K209" i="45"/>
  <c r="L209" i="45" s="1"/>
  <c r="K213" i="45"/>
  <c r="L213" i="45" s="1"/>
  <c r="K218" i="45"/>
  <c r="L218" i="45" s="1"/>
  <c r="K222" i="45"/>
  <c r="L222" i="45" s="1"/>
  <c r="K226" i="45"/>
  <c r="L226" i="45" s="1"/>
  <c r="O9" i="44"/>
  <c r="P9" i="44" s="1"/>
  <c r="M9" i="44"/>
  <c r="N9" i="44" s="1"/>
  <c r="K9" i="44"/>
  <c r="L9" i="44" s="1"/>
  <c r="I9" i="44"/>
  <c r="J9" i="44" s="1"/>
  <c r="Q19" i="44"/>
  <c r="O26" i="44"/>
  <c r="P26" i="44" s="1"/>
  <c r="K26" i="44"/>
  <c r="L26" i="44" s="1"/>
  <c r="I26" i="44"/>
  <c r="J26" i="44" s="1"/>
  <c r="M26" i="44"/>
  <c r="N26" i="44" s="1"/>
  <c r="O45" i="44"/>
  <c r="P45" i="44" s="1"/>
  <c r="K45" i="44"/>
  <c r="L45" i="44" s="1"/>
  <c r="M45" i="44"/>
  <c r="N45" i="44" s="1"/>
  <c r="I45" i="44"/>
  <c r="J45" i="44" s="1"/>
  <c r="O89" i="44"/>
  <c r="P89" i="44" s="1"/>
  <c r="M89" i="44"/>
  <c r="N89" i="44" s="1"/>
  <c r="K89" i="44"/>
  <c r="L89" i="44" s="1"/>
  <c r="I89" i="44"/>
  <c r="J89" i="44" s="1"/>
  <c r="S25" i="44"/>
  <c r="V25" i="44" s="1"/>
  <c r="W25" i="44" s="1"/>
  <c r="Q18" i="44"/>
  <c r="I29" i="44"/>
  <c r="J29" i="44" s="1"/>
  <c r="O29" i="44"/>
  <c r="P29" i="44" s="1"/>
  <c r="K29" i="44"/>
  <c r="L29" i="44" s="1"/>
  <c r="M29" i="44"/>
  <c r="N29" i="44" s="1"/>
  <c r="O52" i="44"/>
  <c r="P52" i="44" s="1"/>
  <c r="I52" i="44"/>
  <c r="J52" i="44" s="1"/>
  <c r="K52" i="44"/>
  <c r="L52" i="44" s="1"/>
  <c r="M52" i="44"/>
  <c r="N52" i="44" s="1"/>
  <c r="K21" i="44"/>
  <c r="L21" i="44" s="1"/>
  <c r="I21" i="44"/>
  <c r="J21" i="44" s="1"/>
  <c r="O21" i="44"/>
  <c r="P21" i="44" s="1"/>
  <c r="M21" i="44"/>
  <c r="N21" i="44" s="1"/>
  <c r="Q70" i="44"/>
  <c r="O36" i="44"/>
  <c r="P36" i="44" s="1"/>
  <c r="M36" i="44"/>
  <c r="N36" i="44" s="1"/>
  <c r="I14" i="44"/>
  <c r="J14" i="44" s="1"/>
  <c r="Q14" i="44" s="1"/>
  <c r="K16" i="44"/>
  <c r="L16" i="44" s="1"/>
  <c r="Q16" i="44" s="1"/>
  <c r="I36" i="44"/>
  <c r="J36" i="44" s="1"/>
  <c r="M39" i="44"/>
  <c r="N39" i="44" s="1"/>
  <c r="I40" i="44"/>
  <c r="J40" i="44" s="1"/>
  <c r="O43" i="44"/>
  <c r="P43" i="44" s="1"/>
  <c r="Q43" i="44" s="1"/>
  <c r="M44" i="44"/>
  <c r="N44" i="44" s="1"/>
  <c r="I57" i="44"/>
  <c r="J57" i="44" s="1"/>
  <c r="O62" i="44"/>
  <c r="P62" i="44" s="1"/>
  <c r="M62" i="44"/>
  <c r="N62" i="44" s="1"/>
  <c r="K62" i="44"/>
  <c r="L62" i="44" s="1"/>
  <c r="Q84" i="44"/>
  <c r="O50" i="44"/>
  <c r="P50" i="44" s="1"/>
  <c r="M50" i="44"/>
  <c r="N50" i="44" s="1"/>
  <c r="I12" i="44"/>
  <c r="J12" i="44" s="1"/>
  <c r="K14" i="44"/>
  <c r="L14" i="44" s="1"/>
  <c r="M16" i="44"/>
  <c r="N16" i="44" s="1"/>
  <c r="I24" i="44"/>
  <c r="J24" i="44" s="1"/>
  <c r="I30" i="44"/>
  <c r="J30" i="44" s="1"/>
  <c r="K36" i="44"/>
  <c r="L36" i="44" s="1"/>
  <c r="K40" i="44"/>
  <c r="L40" i="44" s="1"/>
  <c r="I46" i="44"/>
  <c r="J46" i="44" s="1"/>
  <c r="I50" i="44"/>
  <c r="J50" i="44" s="1"/>
  <c r="O77" i="44"/>
  <c r="P77" i="44" s="1"/>
  <c r="M77" i="44"/>
  <c r="N77" i="44" s="1"/>
  <c r="O86" i="44"/>
  <c r="P86" i="44" s="1"/>
  <c r="M86" i="44"/>
  <c r="N86" i="44" s="1"/>
  <c r="I17" i="44"/>
  <c r="J17" i="44" s="1"/>
  <c r="I27" i="44"/>
  <c r="J27" i="44" s="1"/>
  <c r="O32" i="44"/>
  <c r="P32" i="44" s="1"/>
  <c r="Q32" i="44" s="1"/>
  <c r="I41" i="44"/>
  <c r="J41" i="44" s="1"/>
  <c r="S70" i="44"/>
  <c r="V70" i="44" s="1"/>
  <c r="W70" i="44" s="1"/>
  <c r="I77" i="44"/>
  <c r="J77" i="44" s="1"/>
  <c r="I86" i="44"/>
  <c r="J86" i="44" s="1"/>
  <c r="O108" i="44"/>
  <c r="P108" i="44" s="1"/>
  <c r="M108" i="44"/>
  <c r="N108" i="44" s="1"/>
  <c r="I108" i="44"/>
  <c r="J108" i="44" s="1"/>
  <c r="K108" i="44"/>
  <c r="L108" i="44" s="1"/>
  <c r="K12" i="44"/>
  <c r="L12" i="44" s="1"/>
  <c r="M14" i="44"/>
  <c r="N14" i="44" s="1"/>
  <c r="K24" i="44"/>
  <c r="L24" i="44" s="1"/>
  <c r="K27" i="44"/>
  <c r="L27" i="44" s="1"/>
  <c r="K30" i="44"/>
  <c r="L30" i="44" s="1"/>
  <c r="M40" i="44"/>
  <c r="N40" i="44" s="1"/>
  <c r="K50" i="44"/>
  <c r="L50" i="44" s="1"/>
  <c r="O55" i="44"/>
  <c r="P55" i="44" s="1"/>
  <c r="M55" i="44"/>
  <c r="N55" i="44" s="1"/>
  <c r="K55" i="44"/>
  <c r="L55" i="44" s="1"/>
  <c r="S78" i="44"/>
  <c r="V78" i="44" s="1"/>
  <c r="W78" i="44" s="1"/>
  <c r="K86" i="44"/>
  <c r="L86" i="44" s="1"/>
  <c r="M112" i="44"/>
  <c r="N112" i="44" s="1"/>
  <c r="I112" i="44"/>
  <c r="J112" i="44" s="1"/>
  <c r="O112" i="44"/>
  <c r="P112" i="44" s="1"/>
  <c r="O147" i="44"/>
  <c r="P147" i="44" s="1"/>
  <c r="M147" i="44"/>
  <c r="N147" i="44" s="1"/>
  <c r="K147" i="44"/>
  <c r="L147" i="44" s="1"/>
  <c r="I147" i="44"/>
  <c r="J147" i="44" s="1"/>
  <c r="I15" i="44"/>
  <c r="J15" i="44" s="1"/>
  <c r="Q15" i="44" s="1"/>
  <c r="K17" i="44"/>
  <c r="L17" i="44" s="1"/>
  <c r="I34" i="44"/>
  <c r="J34" i="44" s="1"/>
  <c r="K41" i="44"/>
  <c r="L41" i="44" s="1"/>
  <c r="I55" i="44"/>
  <c r="J55" i="44" s="1"/>
  <c r="O65" i="44"/>
  <c r="P65" i="44" s="1"/>
  <c r="M65" i="44"/>
  <c r="N65" i="44" s="1"/>
  <c r="K65" i="44"/>
  <c r="L65" i="44" s="1"/>
  <c r="I65" i="44"/>
  <c r="J65" i="44" s="1"/>
  <c r="O68" i="44"/>
  <c r="P68" i="44" s="1"/>
  <c r="M68" i="44"/>
  <c r="N68" i="44" s="1"/>
  <c r="K68" i="44"/>
  <c r="L68" i="44" s="1"/>
  <c r="I68" i="44"/>
  <c r="J68" i="44" s="1"/>
  <c r="K77" i="44"/>
  <c r="L77" i="44" s="1"/>
  <c r="O57" i="44"/>
  <c r="P57" i="44" s="1"/>
  <c r="M57" i="44"/>
  <c r="N57" i="44" s="1"/>
  <c r="M12" i="44"/>
  <c r="N12" i="44" s="1"/>
  <c r="M27" i="44"/>
  <c r="N27" i="44" s="1"/>
  <c r="M30" i="44"/>
  <c r="N30" i="44" s="1"/>
  <c r="M41" i="44"/>
  <c r="N41" i="44" s="1"/>
  <c r="K42" i="44"/>
  <c r="L42" i="44" s="1"/>
  <c r="O60" i="44"/>
  <c r="P60" i="44" s="1"/>
  <c r="M60" i="44"/>
  <c r="N60" i="44" s="1"/>
  <c r="K60" i="44"/>
  <c r="L60" i="44" s="1"/>
  <c r="I60" i="44"/>
  <c r="J60" i="44" s="1"/>
  <c r="S69" i="44"/>
  <c r="V69" i="44" s="1"/>
  <c r="W69" i="44" s="1"/>
  <c r="O103" i="44"/>
  <c r="P103" i="44" s="1"/>
  <c r="M103" i="44"/>
  <c r="N103" i="44" s="1"/>
  <c r="I103" i="44"/>
  <c r="J103" i="44" s="1"/>
  <c r="K103" i="44"/>
  <c r="L103" i="44" s="1"/>
  <c r="K112" i="44"/>
  <c r="L112" i="44" s="1"/>
  <c r="M46" i="44"/>
  <c r="N46" i="44" s="1"/>
  <c r="K46" i="44"/>
  <c r="L46" i="44" s="1"/>
  <c r="O24" i="44"/>
  <c r="P24" i="44" s="1"/>
  <c r="I38" i="44"/>
  <c r="J38" i="44" s="1"/>
  <c r="O48" i="44"/>
  <c r="P48" i="44" s="1"/>
  <c r="M48" i="44"/>
  <c r="N48" i="44" s="1"/>
  <c r="I71" i="44"/>
  <c r="J71" i="44" s="1"/>
  <c r="O71" i="44"/>
  <c r="P71" i="44" s="1"/>
  <c r="M71" i="44"/>
  <c r="N71" i="44" s="1"/>
  <c r="K71" i="44"/>
  <c r="L71" i="44" s="1"/>
  <c r="Q76" i="44"/>
  <c r="Q28" i="44"/>
  <c r="M34" i="44"/>
  <c r="N34" i="44" s="1"/>
  <c r="K85" i="44"/>
  <c r="L85" i="44" s="1"/>
  <c r="I85" i="44"/>
  <c r="J85" i="44" s="1"/>
  <c r="O85" i="44"/>
  <c r="P85" i="44" s="1"/>
  <c r="M85" i="44"/>
  <c r="N85" i="44" s="1"/>
  <c r="O94" i="44"/>
  <c r="P94" i="44" s="1"/>
  <c r="M94" i="44"/>
  <c r="N94" i="44" s="1"/>
  <c r="I94" i="44"/>
  <c r="J94" i="44" s="1"/>
  <c r="M98" i="44"/>
  <c r="N98" i="44" s="1"/>
  <c r="O98" i="44"/>
  <c r="P98" i="44" s="1"/>
  <c r="K98" i="44"/>
  <c r="L98" i="44" s="1"/>
  <c r="Q98" i="44" s="1"/>
  <c r="O142" i="44"/>
  <c r="P142" i="44" s="1"/>
  <c r="M142" i="44"/>
  <c r="N142" i="44" s="1"/>
  <c r="K142" i="44"/>
  <c r="L142" i="44" s="1"/>
  <c r="I142" i="44"/>
  <c r="J142" i="44" s="1"/>
  <c r="K44" i="44"/>
  <c r="L44" i="44" s="1"/>
  <c r="I44" i="44"/>
  <c r="J44" i="44" s="1"/>
  <c r="Q44" i="44" s="1"/>
  <c r="M53" i="44"/>
  <c r="N53" i="44" s="1"/>
  <c r="K53" i="44"/>
  <c r="L53" i="44" s="1"/>
  <c r="I53" i="44"/>
  <c r="J53" i="44" s="1"/>
  <c r="M87" i="44"/>
  <c r="N87" i="44" s="1"/>
  <c r="K87" i="44"/>
  <c r="L87" i="44" s="1"/>
  <c r="O87" i="44"/>
  <c r="P87" i="44" s="1"/>
  <c r="I87" i="44"/>
  <c r="J87" i="44" s="1"/>
  <c r="M140" i="44"/>
  <c r="N140" i="44" s="1"/>
  <c r="K140" i="44"/>
  <c r="L140" i="44" s="1"/>
  <c r="O140" i="44"/>
  <c r="P140" i="44" s="1"/>
  <c r="O194" i="44"/>
  <c r="P194" i="44" s="1"/>
  <c r="M194" i="44"/>
  <c r="N194" i="44" s="1"/>
  <c r="K194" i="44"/>
  <c r="L194" i="44" s="1"/>
  <c r="I194" i="44"/>
  <c r="J194" i="44" s="1"/>
  <c r="O226" i="44"/>
  <c r="P226" i="44" s="1"/>
  <c r="M226" i="44"/>
  <c r="N226" i="44" s="1"/>
  <c r="K226" i="44"/>
  <c r="L226" i="44" s="1"/>
  <c r="I226" i="44"/>
  <c r="J226" i="44" s="1"/>
  <c r="M67" i="44"/>
  <c r="N67" i="44" s="1"/>
  <c r="O135" i="44"/>
  <c r="P135" i="44" s="1"/>
  <c r="M135" i="44"/>
  <c r="N135" i="44" s="1"/>
  <c r="K135" i="44"/>
  <c r="L135" i="44" s="1"/>
  <c r="I72" i="44"/>
  <c r="J72" i="44" s="1"/>
  <c r="O79" i="44"/>
  <c r="P79" i="44" s="1"/>
  <c r="I79" i="44"/>
  <c r="J79" i="44" s="1"/>
  <c r="Q102" i="44"/>
  <c r="Q119" i="44"/>
  <c r="I135" i="44"/>
  <c r="J135" i="44" s="1"/>
  <c r="M158" i="44"/>
  <c r="N158" i="44" s="1"/>
  <c r="O158" i="44"/>
  <c r="P158" i="44" s="1"/>
  <c r="K158" i="44"/>
  <c r="L158" i="44" s="1"/>
  <c r="I58" i="44"/>
  <c r="J58" i="44" s="1"/>
  <c r="M152" i="44"/>
  <c r="N152" i="44" s="1"/>
  <c r="K152" i="44"/>
  <c r="L152" i="44" s="1"/>
  <c r="O152" i="44"/>
  <c r="P152" i="44" s="1"/>
  <c r="Q160" i="44"/>
  <c r="K72" i="44"/>
  <c r="L72" i="44" s="1"/>
  <c r="K73" i="44"/>
  <c r="L73" i="44" s="1"/>
  <c r="I73" i="44"/>
  <c r="J73" i="44" s="1"/>
  <c r="O73" i="44"/>
  <c r="P73" i="44" s="1"/>
  <c r="K79" i="44"/>
  <c r="L79" i="44" s="1"/>
  <c r="K97" i="44"/>
  <c r="L97" i="44" s="1"/>
  <c r="I97" i="44"/>
  <c r="J97" i="44" s="1"/>
  <c r="O97" i="44"/>
  <c r="P97" i="44" s="1"/>
  <c r="O101" i="44"/>
  <c r="P101" i="44" s="1"/>
  <c r="M101" i="44"/>
  <c r="N101" i="44" s="1"/>
  <c r="K101" i="44"/>
  <c r="L101" i="44" s="1"/>
  <c r="M106" i="44"/>
  <c r="N106" i="44" s="1"/>
  <c r="O106" i="44"/>
  <c r="P106" i="44" s="1"/>
  <c r="I106" i="44"/>
  <c r="J106" i="44" s="1"/>
  <c r="M128" i="44"/>
  <c r="N128" i="44" s="1"/>
  <c r="K128" i="44"/>
  <c r="L128" i="44" s="1"/>
  <c r="O128" i="44"/>
  <c r="P128" i="44" s="1"/>
  <c r="I128" i="44"/>
  <c r="J128" i="44" s="1"/>
  <c r="I152" i="44"/>
  <c r="J152" i="44" s="1"/>
  <c r="I174" i="44"/>
  <c r="J174" i="44" s="1"/>
  <c r="M174" i="44"/>
  <c r="N174" i="44" s="1"/>
  <c r="O174" i="44"/>
  <c r="P174" i="44" s="1"/>
  <c r="K174" i="44"/>
  <c r="L174" i="44" s="1"/>
  <c r="I56" i="44"/>
  <c r="J56" i="44" s="1"/>
  <c r="Q56" i="44" s="1"/>
  <c r="K58" i="44"/>
  <c r="L58" i="44" s="1"/>
  <c r="I66" i="44"/>
  <c r="J66" i="44" s="1"/>
  <c r="I74" i="44"/>
  <c r="J74" i="44" s="1"/>
  <c r="I81" i="44"/>
  <c r="J81" i="44" s="1"/>
  <c r="M97" i="44"/>
  <c r="N97" i="44" s="1"/>
  <c r="I101" i="44"/>
  <c r="J101" i="44" s="1"/>
  <c r="K106" i="44"/>
  <c r="L106" i="44" s="1"/>
  <c r="O170" i="44"/>
  <c r="P170" i="44" s="1"/>
  <c r="M170" i="44"/>
  <c r="N170" i="44" s="1"/>
  <c r="I170" i="44"/>
  <c r="J170" i="44" s="1"/>
  <c r="K170" i="44"/>
  <c r="L170" i="44" s="1"/>
  <c r="K63" i="44"/>
  <c r="L63" i="44" s="1"/>
  <c r="M72" i="44"/>
  <c r="N72" i="44" s="1"/>
  <c r="M75" i="44"/>
  <c r="N75" i="44" s="1"/>
  <c r="K75" i="44"/>
  <c r="L75" i="44" s="1"/>
  <c r="M79" i="44"/>
  <c r="N79" i="44" s="1"/>
  <c r="I83" i="44"/>
  <c r="J83" i="44" s="1"/>
  <c r="M83" i="44"/>
  <c r="N83" i="44" s="1"/>
  <c r="O118" i="44"/>
  <c r="P118" i="44" s="1"/>
  <c r="M118" i="44"/>
  <c r="N118" i="44" s="1"/>
  <c r="K118" i="44"/>
  <c r="L118" i="44" s="1"/>
  <c r="S134" i="44"/>
  <c r="V134" i="44" s="1"/>
  <c r="W134" i="44" s="1"/>
  <c r="M73" i="44"/>
  <c r="N73" i="44" s="1"/>
  <c r="I75" i="44"/>
  <c r="J75" i="44" s="1"/>
  <c r="O91" i="44"/>
  <c r="P91" i="44" s="1"/>
  <c r="M91" i="44"/>
  <c r="N91" i="44" s="1"/>
  <c r="I91" i="44"/>
  <c r="J91" i="44" s="1"/>
  <c r="Q91" i="44" s="1"/>
  <c r="S91" i="44" s="1"/>
  <c r="V91" i="44" s="1"/>
  <c r="W91" i="44" s="1"/>
  <c r="Q113" i="44"/>
  <c r="I118" i="44"/>
  <c r="J118" i="44" s="1"/>
  <c r="I139" i="44"/>
  <c r="J139" i="44" s="1"/>
  <c r="O139" i="44"/>
  <c r="P139" i="44" s="1"/>
  <c r="M139" i="44"/>
  <c r="N139" i="44" s="1"/>
  <c r="Q143" i="44"/>
  <c r="Q105" i="44"/>
  <c r="Q125" i="44"/>
  <c r="K93" i="44"/>
  <c r="L93" i="44" s="1"/>
  <c r="M95" i="44"/>
  <c r="N95" i="44" s="1"/>
  <c r="Q95" i="44" s="1"/>
  <c r="K105" i="44"/>
  <c r="L105" i="44" s="1"/>
  <c r="O121" i="44"/>
  <c r="P121" i="44" s="1"/>
  <c r="M121" i="44"/>
  <c r="N121" i="44" s="1"/>
  <c r="K121" i="44"/>
  <c r="L121" i="44" s="1"/>
  <c r="Q121" i="44" s="1"/>
  <c r="K117" i="44"/>
  <c r="L117" i="44" s="1"/>
  <c r="I117" i="44"/>
  <c r="J117" i="44" s="1"/>
  <c r="Q169" i="44"/>
  <c r="I99" i="44"/>
  <c r="J99" i="44" s="1"/>
  <c r="I109" i="44"/>
  <c r="J109" i="44" s="1"/>
  <c r="Q109" i="44" s="1"/>
  <c r="O114" i="44"/>
  <c r="P114" i="44" s="1"/>
  <c r="I114" i="44"/>
  <c r="J114" i="44" s="1"/>
  <c r="K115" i="44"/>
  <c r="L115" i="44" s="1"/>
  <c r="I116" i="44"/>
  <c r="J116" i="44" s="1"/>
  <c r="I151" i="44"/>
  <c r="J151" i="44" s="1"/>
  <c r="O151" i="44"/>
  <c r="P151" i="44" s="1"/>
  <c r="Q181" i="44"/>
  <c r="Q196" i="44"/>
  <c r="O133" i="44"/>
  <c r="P133" i="44" s="1"/>
  <c r="M133" i="44"/>
  <c r="N133" i="44" s="1"/>
  <c r="K133" i="44"/>
  <c r="L133" i="44" s="1"/>
  <c r="I133" i="44"/>
  <c r="J133" i="44" s="1"/>
  <c r="Q146" i="44"/>
  <c r="K151" i="44"/>
  <c r="L151" i="44" s="1"/>
  <c r="O154" i="44"/>
  <c r="P154" i="44" s="1"/>
  <c r="M154" i="44"/>
  <c r="N154" i="44" s="1"/>
  <c r="O219" i="44"/>
  <c r="P219" i="44" s="1"/>
  <c r="M219" i="44"/>
  <c r="N219" i="44" s="1"/>
  <c r="K219" i="44"/>
  <c r="L219" i="44" s="1"/>
  <c r="I219" i="44"/>
  <c r="J219" i="44" s="1"/>
  <c r="K99" i="44"/>
  <c r="L99" i="44" s="1"/>
  <c r="K114" i="44"/>
  <c r="L114" i="44" s="1"/>
  <c r="M115" i="44"/>
  <c r="N115" i="44" s="1"/>
  <c r="O123" i="44"/>
  <c r="P123" i="44" s="1"/>
  <c r="M123" i="44"/>
  <c r="N123" i="44" s="1"/>
  <c r="K123" i="44"/>
  <c r="L123" i="44" s="1"/>
  <c r="O206" i="44"/>
  <c r="P206" i="44" s="1"/>
  <c r="M206" i="44"/>
  <c r="N206" i="44" s="1"/>
  <c r="K206" i="44"/>
  <c r="L206" i="44" s="1"/>
  <c r="I206" i="44"/>
  <c r="J206" i="44" s="1"/>
  <c r="M116" i="44"/>
  <c r="N116" i="44" s="1"/>
  <c r="O117" i="44"/>
  <c r="P117" i="44" s="1"/>
  <c r="M151" i="44"/>
  <c r="N151" i="44" s="1"/>
  <c r="I110" i="44"/>
  <c r="J110" i="44" s="1"/>
  <c r="Q110" i="44" s="1"/>
  <c r="S110" i="44" s="1"/>
  <c r="V110" i="44" s="1"/>
  <c r="W110" i="44" s="1"/>
  <c r="O115" i="44"/>
  <c r="P115" i="44" s="1"/>
  <c r="O116" i="44"/>
  <c r="P116" i="44" s="1"/>
  <c r="I127" i="44"/>
  <c r="J127" i="44" s="1"/>
  <c r="O127" i="44"/>
  <c r="P127" i="44" s="1"/>
  <c r="K154" i="44"/>
  <c r="L154" i="44" s="1"/>
  <c r="O130" i="44"/>
  <c r="P130" i="44" s="1"/>
  <c r="M130" i="44"/>
  <c r="N130" i="44" s="1"/>
  <c r="O145" i="44"/>
  <c r="P145" i="44" s="1"/>
  <c r="M145" i="44"/>
  <c r="N145" i="44" s="1"/>
  <c r="K145" i="44"/>
  <c r="L145" i="44" s="1"/>
  <c r="I145" i="44"/>
  <c r="J145" i="44" s="1"/>
  <c r="O189" i="44"/>
  <c r="P189" i="44" s="1"/>
  <c r="M189" i="44"/>
  <c r="N189" i="44" s="1"/>
  <c r="K189" i="44"/>
  <c r="L189" i="44" s="1"/>
  <c r="Q199" i="44"/>
  <c r="Q193" i="44"/>
  <c r="O120" i="44"/>
  <c r="P120" i="44" s="1"/>
  <c r="Q120" i="44" s="1"/>
  <c r="I126" i="44"/>
  <c r="J126" i="44" s="1"/>
  <c r="Q126" i="44" s="1"/>
  <c r="O132" i="44"/>
  <c r="P132" i="44" s="1"/>
  <c r="I138" i="44"/>
  <c r="J138" i="44" s="1"/>
  <c r="O144" i="44"/>
  <c r="P144" i="44" s="1"/>
  <c r="I150" i="44"/>
  <c r="J150" i="44" s="1"/>
  <c r="I155" i="44"/>
  <c r="J155" i="44" s="1"/>
  <c r="O157" i="44"/>
  <c r="P157" i="44" s="1"/>
  <c r="Q157" i="44" s="1"/>
  <c r="M168" i="44"/>
  <c r="N168" i="44" s="1"/>
  <c r="K168" i="44"/>
  <c r="L168" i="44" s="1"/>
  <c r="Q218" i="44"/>
  <c r="O201" i="44"/>
  <c r="P201" i="44" s="1"/>
  <c r="M201" i="44"/>
  <c r="N201" i="44" s="1"/>
  <c r="K201" i="44"/>
  <c r="L201" i="44" s="1"/>
  <c r="O213" i="44"/>
  <c r="P213" i="44" s="1"/>
  <c r="M213" i="44"/>
  <c r="N213" i="44" s="1"/>
  <c r="K213" i="44"/>
  <c r="L213" i="44" s="1"/>
  <c r="I124" i="44"/>
  <c r="J124" i="44" s="1"/>
  <c r="Q124" i="44" s="1"/>
  <c r="S124" i="44" s="1"/>
  <c r="V124" i="44" s="1"/>
  <c r="W124" i="44" s="1"/>
  <c r="K126" i="44"/>
  <c r="L126" i="44" s="1"/>
  <c r="K138" i="44"/>
  <c r="L138" i="44" s="1"/>
  <c r="I148" i="44"/>
  <c r="J148" i="44" s="1"/>
  <c r="K150" i="44"/>
  <c r="L150" i="44" s="1"/>
  <c r="K155" i="44"/>
  <c r="L155" i="44" s="1"/>
  <c r="Q188" i="44"/>
  <c r="Q195" i="44"/>
  <c r="I201" i="44"/>
  <c r="J201" i="44" s="1"/>
  <c r="Q207" i="44"/>
  <c r="I213" i="44"/>
  <c r="J213" i="44" s="1"/>
  <c r="I129" i="44"/>
  <c r="J129" i="44" s="1"/>
  <c r="Q129" i="44" s="1"/>
  <c r="I141" i="44"/>
  <c r="J141" i="44" s="1"/>
  <c r="I153" i="44"/>
  <c r="J153" i="44" s="1"/>
  <c r="O173" i="44"/>
  <c r="P173" i="44" s="1"/>
  <c r="K173" i="44"/>
  <c r="L173" i="44" s="1"/>
  <c r="I173" i="44"/>
  <c r="J173" i="44" s="1"/>
  <c r="O177" i="44"/>
  <c r="P177" i="44" s="1"/>
  <c r="M177" i="44"/>
  <c r="N177" i="44" s="1"/>
  <c r="K177" i="44"/>
  <c r="L177" i="44" s="1"/>
  <c r="K166" i="44"/>
  <c r="L166" i="44" s="1"/>
  <c r="I166" i="44"/>
  <c r="J166" i="44" s="1"/>
  <c r="Q166" i="44" s="1"/>
  <c r="S166" i="44" s="1"/>
  <c r="V166" i="44" s="1"/>
  <c r="W166" i="44" s="1"/>
  <c r="O182" i="44"/>
  <c r="P182" i="44" s="1"/>
  <c r="M182" i="44"/>
  <c r="N182" i="44" s="1"/>
  <c r="K182" i="44"/>
  <c r="L182" i="44" s="1"/>
  <c r="I182" i="44"/>
  <c r="J182" i="44" s="1"/>
  <c r="I162" i="44"/>
  <c r="J162" i="44" s="1"/>
  <c r="I165" i="44"/>
  <c r="J165" i="44" s="1"/>
  <c r="M167" i="44"/>
  <c r="N167" i="44" s="1"/>
  <c r="I161" i="44"/>
  <c r="J161" i="44" s="1"/>
  <c r="Q161" i="44" s="1"/>
  <c r="K162" i="44"/>
  <c r="L162" i="44" s="1"/>
  <c r="K165" i="44"/>
  <c r="L165" i="44" s="1"/>
  <c r="M166" i="44"/>
  <c r="N166" i="44" s="1"/>
  <c r="Q200" i="44"/>
  <c r="O164" i="44"/>
  <c r="P164" i="44" s="1"/>
  <c r="M186" i="44"/>
  <c r="N186" i="44" s="1"/>
  <c r="M198" i="44"/>
  <c r="N198" i="44" s="1"/>
  <c r="M210" i="44"/>
  <c r="N210" i="44" s="1"/>
  <c r="M223" i="44"/>
  <c r="N223" i="44" s="1"/>
  <c r="I217" i="44"/>
  <c r="J217" i="44" s="1"/>
  <c r="O223" i="44"/>
  <c r="P223" i="44" s="1"/>
  <c r="O179" i="44"/>
  <c r="P179" i="44" s="1"/>
  <c r="Q179" i="44" s="1"/>
  <c r="I185" i="44"/>
  <c r="J185" i="44" s="1"/>
  <c r="O191" i="44"/>
  <c r="P191" i="44" s="1"/>
  <c r="I197" i="44"/>
  <c r="J197" i="44" s="1"/>
  <c r="O203" i="44"/>
  <c r="P203" i="44" s="1"/>
  <c r="I209" i="44"/>
  <c r="J209" i="44" s="1"/>
  <c r="O216" i="44"/>
  <c r="P216" i="44" s="1"/>
  <c r="Q216" i="44" s="1"/>
  <c r="I222" i="44"/>
  <c r="J222" i="44" s="1"/>
  <c r="I178" i="44"/>
  <c r="J178" i="44" s="1"/>
  <c r="Q178" i="44" s="1"/>
  <c r="K180" i="44"/>
  <c r="L180" i="44" s="1"/>
  <c r="I190" i="44"/>
  <c r="J190" i="44" s="1"/>
  <c r="Q190" i="44" s="1"/>
  <c r="K192" i="44"/>
  <c r="L192" i="44" s="1"/>
  <c r="I202" i="44"/>
  <c r="J202" i="44" s="1"/>
  <c r="Q202" i="44" s="1"/>
  <c r="K204" i="44"/>
  <c r="L204" i="44" s="1"/>
  <c r="I215" i="44"/>
  <c r="J215" i="44" s="1"/>
  <c r="K217" i="44"/>
  <c r="L217" i="44" s="1"/>
  <c r="I227" i="44"/>
  <c r="J227" i="44" s="1"/>
  <c r="K185" i="44"/>
  <c r="L185" i="44" s="1"/>
  <c r="K197" i="44"/>
  <c r="L197" i="44" s="1"/>
  <c r="K209" i="44"/>
  <c r="L209" i="44" s="1"/>
  <c r="I220" i="44"/>
  <c r="J220" i="44" s="1"/>
  <c r="K222" i="44"/>
  <c r="L222" i="44" s="1"/>
  <c r="M180" i="44"/>
  <c r="N180" i="44" s="1"/>
  <c r="M192" i="44"/>
  <c r="N192" i="44" s="1"/>
  <c r="M204" i="44"/>
  <c r="N204" i="44" s="1"/>
  <c r="K215" i="44"/>
  <c r="L215" i="44" s="1"/>
  <c r="M217" i="44"/>
  <c r="N217" i="44" s="1"/>
  <c r="K227" i="44"/>
  <c r="L227" i="44" s="1"/>
  <c r="M185" i="44"/>
  <c r="N185" i="44" s="1"/>
  <c r="M197" i="44"/>
  <c r="N197" i="44" s="1"/>
  <c r="M209" i="44"/>
  <c r="N209" i="44" s="1"/>
  <c r="M222" i="44"/>
  <c r="N222" i="44" s="1"/>
  <c r="Q226" i="45" l="1"/>
  <c r="S226" i="45" s="1"/>
  <c r="V226" i="45" s="1"/>
  <c r="W226" i="45" s="1"/>
  <c r="Q150" i="45"/>
  <c r="S150" i="45" s="1"/>
  <c r="V150" i="45" s="1"/>
  <c r="W150" i="45" s="1"/>
  <c r="Q126" i="45"/>
  <c r="S126" i="45" s="1"/>
  <c r="V126" i="45" s="1"/>
  <c r="W126" i="45" s="1"/>
  <c r="Q54" i="45"/>
  <c r="S54" i="45" s="1"/>
  <c r="V54" i="45" s="1"/>
  <c r="W54" i="45" s="1"/>
  <c r="Q112" i="45"/>
  <c r="S112" i="45" s="1"/>
  <c r="V112" i="45" s="1"/>
  <c r="W112" i="45" s="1"/>
  <c r="Q68" i="45"/>
  <c r="S68" i="45" s="1"/>
  <c r="V68" i="45" s="1"/>
  <c r="W68" i="45" s="1"/>
  <c r="Q7" i="45"/>
  <c r="S7" i="45" s="1"/>
  <c r="V7" i="45" s="1"/>
  <c r="W7" i="45" s="1"/>
  <c r="Q50" i="45"/>
  <c r="S50" i="45" s="1"/>
  <c r="V50" i="45" s="1"/>
  <c r="W50" i="45" s="1"/>
  <c r="Q60" i="45"/>
  <c r="S60" i="45" s="1"/>
  <c r="V60" i="45" s="1"/>
  <c r="W60" i="45" s="1"/>
  <c r="Q218" i="45"/>
  <c r="S218" i="45" s="1"/>
  <c r="V218" i="45" s="1"/>
  <c r="W218" i="45" s="1"/>
  <c r="Q110" i="45"/>
  <c r="S110" i="45" s="1"/>
  <c r="V110" i="45" s="1"/>
  <c r="W110" i="45" s="1"/>
  <c r="Q190" i="45"/>
  <c r="S190" i="45" s="1"/>
  <c r="V190" i="45" s="1"/>
  <c r="W190" i="45" s="1"/>
  <c r="Q102" i="45"/>
  <c r="S102" i="45" s="1"/>
  <c r="V102" i="45" s="1"/>
  <c r="W102" i="45" s="1"/>
  <c r="Q118" i="45"/>
  <c r="S118" i="45" s="1"/>
  <c r="V118" i="45" s="1"/>
  <c r="W118" i="45" s="1"/>
  <c r="Q49" i="45"/>
  <c r="S49" i="45" s="1"/>
  <c r="V49" i="45" s="1"/>
  <c r="W49" i="45" s="1"/>
  <c r="Q212" i="45"/>
  <c r="S212" i="45" s="1"/>
  <c r="V212" i="45" s="1"/>
  <c r="W212" i="45" s="1"/>
  <c r="Q147" i="45"/>
  <c r="S147" i="45" s="1"/>
  <c r="V147" i="45" s="1"/>
  <c r="W147" i="45" s="1"/>
  <c r="Q44" i="45"/>
  <c r="S44" i="45" s="1"/>
  <c r="V44" i="45" s="1"/>
  <c r="W44" i="45" s="1"/>
  <c r="Q40" i="45"/>
  <c r="S40" i="45" s="1"/>
  <c r="V40" i="45" s="1"/>
  <c r="W40" i="45" s="1"/>
  <c r="Q213" i="45"/>
  <c r="S213" i="45" s="1"/>
  <c r="V213" i="45" s="1"/>
  <c r="W213" i="45" s="1"/>
  <c r="Q225" i="45"/>
  <c r="S225" i="45" s="1"/>
  <c r="V225" i="45" s="1"/>
  <c r="W225" i="45" s="1"/>
  <c r="Q169" i="45"/>
  <c r="S169" i="45" s="1"/>
  <c r="V169" i="45" s="1"/>
  <c r="W169" i="45" s="1"/>
  <c r="Q185" i="45"/>
  <c r="S185" i="45" s="1"/>
  <c r="V185" i="45" s="1"/>
  <c r="W185" i="45" s="1"/>
  <c r="Q187" i="45"/>
  <c r="S187" i="45" s="1"/>
  <c r="V187" i="45" s="1"/>
  <c r="W187" i="45" s="1"/>
  <c r="Q52" i="45"/>
  <c r="S52" i="45" s="1"/>
  <c r="V52" i="45" s="1"/>
  <c r="W52" i="45" s="1"/>
  <c r="Q74" i="45"/>
  <c r="S74" i="45" s="1"/>
  <c r="V74" i="45" s="1"/>
  <c r="W74" i="45" s="1"/>
  <c r="Q148" i="45"/>
  <c r="S148" i="45" s="1"/>
  <c r="V148" i="45" s="1"/>
  <c r="W148" i="45" s="1"/>
  <c r="Q166" i="45"/>
  <c r="S166" i="45" s="1"/>
  <c r="V166" i="45" s="1"/>
  <c r="W166" i="45" s="1"/>
  <c r="Q179" i="45"/>
  <c r="S179" i="45" s="1"/>
  <c r="V179" i="45" s="1"/>
  <c r="W179" i="45" s="1"/>
  <c r="Q135" i="45"/>
  <c r="S135" i="45" s="1"/>
  <c r="V135" i="45" s="1"/>
  <c r="W135" i="45" s="1"/>
  <c r="Q199" i="45"/>
  <c r="S199" i="45" s="1"/>
  <c r="V199" i="45" s="1"/>
  <c r="W199" i="45" s="1"/>
  <c r="Q178" i="45"/>
  <c r="S178" i="45" s="1"/>
  <c r="V178" i="45" s="1"/>
  <c r="W178" i="45" s="1"/>
  <c r="Q201" i="45"/>
  <c r="S201" i="45" s="1"/>
  <c r="V201" i="45" s="1"/>
  <c r="W201" i="45" s="1"/>
  <c r="Q92" i="45"/>
  <c r="S92" i="45" s="1"/>
  <c r="V92" i="45" s="1"/>
  <c r="W92" i="45" s="1"/>
  <c r="Q23" i="45"/>
  <c r="S23" i="45" s="1"/>
  <c r="V23" i="45" s="1"/>
  <c r="W23" i="45" s="1"/>
  <c r="Q206" i="45"/>
  <c r="S206" i="45" s="1"/>
  <c r="V206" i="45" s="1"/>
  <c r="W206" i="45" s="1"/>
  <c r="Q210" i="44"/>
  <c r="Q148" i="44"/>
  <c r="Q139" i="44"/>
  <c r="Q142" i="44"/>
  <c r="Q62" i="44"/>
  <c r="Q220" i="44"/>
  <c r="Q198" i="44"/>
  <c r="Q127" i="44"/>
  <c r="S127" i="44" s="1"/>
  <c r="V127" i="44" s="1"/>
  <c r="W127" i="44" s="1"/>
  <c r="Q152" i="44"/>
  <c r="S152" i="44" s="1"/>
  <c r="V152" i="44" s="1"/>
  <c r="W152" i="44" s="1"/>
  <c r="Q158" i="44"/>
  <c r="S158" i="44" s="1"/>
  <c r="V158" i="44" s="1"/>
  <c r="W158" i="44" s="1"/>
  <c r="Q175" i="44"/>
  <c r="S175" i="44" s="1"/>
  <c r="V175" i="44" s="1"/>
  <c r="W175" i="44" s="1"/>
  <c r="Q101" i="44"/>
  <c r="S101" i="44" s="1"/>
  <c r="V101" i="44" s="1"/>
  <c r="W101" i="44" s="1"/>
  <c r="Q128" i="44"/>
  <c r="Q42" i="44"/>
  <c r="Q6" i="44"/>
  <c r="S6" i="44" s="1"/>
  <c r="V6" i="44" s="1"/>
  <c r="W6" i="44" s="1"/>
  <c r="Q191" i="44"/>
  <c r="S191" i="44" s="1"/>
  <c r="V191" i="44" s="1"/>
  <c r="W191" i="44" s="1"/>
  <c r="Q51" i="44"/>
  <c r="S51" i="44" s="1"/>
  <c r="V51" i="44" s="1"/>
  <c r="W51" i="44" s="1"/>
  <c r="Q35" i="44"/>
  <c r="Q74" i="44"/>
  <c r="Q8" i="44"/>
  <c r="S8" i="44" s="1"/>
  <c r="V8" i="44" s="1"/>
  <c r="W8" i="44" s="1"/>
  <c r="Q88" i="44"/>
  <c r="S88" i="44" s="1"/>
  <c r="V88" i="44" s="1"/>
  <c r="W88" i="44" s="1"/>
  <c r="Q221" i="44"/>
  <c r="S221" i="44" s="1"/>
  <c r="V221" i="44" s="1"/>
  <c r="W221" i="44" s="1"/>
  <c r="Q132" i="44"/>
  <c r="S132" i="44" s="1"/>
  <c r="V132" i="44" s="1"/>
  <c r="W132" i="44" s="1"/>
  <c r="Q22" i="44"/>
  <c r="S22" i="44" s="1"/>
  <c r="V22" i="44" s="1"/>
  <c r="W22" i="44" s="1"/>
  <c r="Q192" i="44"/>
  <c r="Q93" i="44"/>
  <c r="Q138" i="44"/>
  <c r="Q66" i="44"/>
  <c r="Q164" i="44"/>
  <c r="Q82" i="44"/>
  <c r="S82" i="44" s="1"/>
  <c r="V82" i="44" s="1"/>
  <c r="W82" i="44" s="1"/>
  <c r="Q172" i="44"/>
  <c r="Q186" i="44"/>
  <c r="Q144" i="44"/>
  <c r="S144" i="44" s="1"/>
  <c r="V144" i="44" s="1"/>
  <c r="W144" i="44" s="1"/>
  <c r="Q55" i="44"/>
  <c r="S55" i="44" s="1"/>
  <c r="V55" i="44" s="1"/>
  <c r="W55" i="44" s="1"/>
  <c r="Q80" i="44"/>
  <c r="S80" i="44" s="1"/>
  <c r="V80" i="44" s="1"/>
  <c r="W80" i="44" s="1"/>
  <c r="Q47" i="44"/>
  <c r="S47" i="44" s="1"/>
  <c r="V47" i="44" s="1"/>
  <c r="W47" i="44" s="1"/>
  <c r="Q96" i="44"/>
  <c r="Q81" i="44"/>
  <c r="S81" i="44" s="1"/>
  <c r="V81" i="44" s="1"/>
  <c r="W81" i="44" s="1"/>
  <c r="Q9" i="44"/>
  <c r="S9" i="44" s="1"/>
  <c r="V9" i="44" s="1"/>
  <c r="W9" i="44" s="1"/>
  <c r="Q83" i="44"/>
  <c r="Q123" i="44"/>
  <c r="Q67" i="44"/>
  <c r="Q140" i="44"/>
  <c r="Q90" i="44"/>
  <c r="S90" i="44" s="1"/>
  <c r="V90" i="44" s="1"/>
  <c r="W90" i="44" s="1"/>
  <c r="Q20" i="44"/>
  <c r="S20" i="44" s="1"/>
  <c r="V20" i="44" s="1"/>
  <c r="W20" i="44" s="1"/>
  <c r="Q115" i="44"/>
  <c r="Q34" i="44"/>
  <c r="S34" i="44" s="1"/>
  <c r="V34" i="44" s="1"/>
  <c r="W34" i="44" s="1"/>
  <c r="Q11" i="44"/>
  <c r="S11" i="44" s="1"/>
  <c r="V11" i="44" s="1"/>
  <c r="W11" i="44" s="1"/>
  <c r="Q5" i="44"/>
  <c r="S5" i="44" s="1"/>
  <c r="V5" i="44" s="1"/>
  <c r="W5" i="44" s="1"/>
  <c r="Q177" i="44"/>
  <c r="Q130" i="44"/>
  <c r="Q63" i="44"/>
  <c r="Q60" i="44"/>
  <c r="Q180" i="44"/>
  <c r="S180" i="44" s="1"/>
  <c r="V180" i="44" s="1"/>
  <c r="W180" i="44" s="1"/>
  <c r="Q227" i="44"/>
  <c r="Q153" i="44"/>
  <c r="Q168" i="44"/>
  <c r="Q38" i="44"/>
  <c r="S38" i="44" s="1"/>
  <c r="V38" i="44" s="1"/>
  <c r="W38" i="44" s="1"/>
  <c r="Q68" i="44"/>
  <c r="S68" i="44" s="1"/>
  <c r="V68" i="44" s="1"/>
  <c r="W68" i="44" s="1"/>
  <c r="Q10" i="44"/>
  <c r="S10" i="44" s="1"/>
  <c r="V10" i="44" s="1"/>
  <c r="W10" i="44" s="1"/>
  <c r="Q141" i="44"/>
  <c r="S141" i="44" s="1"/>
  <c r="V141" i="44" s="1"/>
  <c r="W141" i="44" s="1"/>
  <c r="Q219" i="44"/>
  <c r="S219" i="44" s="1"/>
  <c r="V219" i="44" s="1"/>
  <c r="W219" i="44" s="1"/>
  <c r="Q39" i="44"/>
  <c r="Q26" i="44"/>
  <c r="Q187" i="44"/>
  <c r="S187" i="44" s="1"/>
  <c r="V187" i="44" s="1"/>
  <c r="W187" i="44" s="1"/>
  <c r="Q33" i="44"/>
  <c r="S33" i="44" s="1"/>
  <c r="V33" i="44" s="1"/>
  <c r="W33" i="44" s="1"/>
  <c r="Q163" i="44"/>
  <c r="S163" i="44" s="1"/>
  <c r="V163" i="44" s="1"/>
  <c r="W163" i="44" s="1"/>
  <c r="Q167" i="44"/>
  <c r="Q189" i="44"/>
  <c r="S189" i="44" s="1"/>
  <c r="V189" i="44" s="1"/>
  <c r="W189" i="44" s="1"/>
  <c r="Q154" i="44"/>
  <c r="S154" i="44" s="1"/>
  <c r="V154" i="44" s="1"/>
  <c r="W154" i="44" s="1"/>
  <c r="Q206" i="44"/>
  <c r="S206" i="44" s="1"/>
  <c r="V206" i="44" s="1"/>
  <c r="W206" i="44" s="1"/>
  <c r="Q118" i="44"/>
  <c r="S118" i="44" s="1"/>
  <c r="V118" i="44" s="1"/>
  <c r="W118" i="44" s="1"/>
  <c r="Q194" i="44"/>
  <c r="S194" i="44" s="1"/>
  <c r="V194" i="44" s="1"/>
  <c r="W194" i="44" s="1"/>
  <c r="Q111" i="44"/>
  <c r="S111" i="44" s="1"/>
  <c r="V111" i="44" s="1"/>
  <c r="W111" i="44" s="1"/>
  <c r="Q223" i="44"/>
  <c r="Q165" i="44"/>
  <c r="S165" i="44" s="1"/>
  <c r="V165" i="44" s="1"/>
  <c r="W165" i="44" s="1"/>
  <c r="Q155" i="44"/>
  <c r="Q174" i="44"/>
  <c r="S174" i="44" s="1"/>
  <c r="V174" i="44" s="1"/>
  <c r="W174" i="44" s="1"/>
  <c r="Q31" i="44"/>
  <c r="S31" i="44" s="1"/>
  <c r="V31" i="44" s="1"/>
  <c r="W31" i="44" s="1"/>
  <c r="Q222" i="45"/>
  <c r="S222" i="45" s="1"/>
  <c r="V222" i="45" s="1"/>
  <c r="W222" i="45" s="1"/>
  <c r="Q220" i="45"/>
  <c r="S220" i="45" s="1"/>
  <c r="V220" i="45" s="1"/>
  <c r="W220" i="45" s="1"/>
  <c r="Q211" i="45"/>
  <c r="S211" i="45" s="1"/>
  <c r="V211" i="45" s="1"/>
  <c r="W211" i="45" s="1"/>
  <c r="Q181" i="45"/>
  <c r="S181" i="45" s="1"/>
  <c r="V181" i="45" s="1"/>
  <c r="W181" i="45" s="1"/>
  <c r="Q193" i="45"/>
  <c r="S193" i="45" s="1"/>
  <c r="V193" i="45" s="1"/>
  <c r="W193" i="45" s="1"/>
  <c r="Q131" i="45"/>
  <c r="S131" i="45" s="1"/>
  <c r="V131" i="45" s="1"/>
  <c r="W131" i="45" s="1"/>
  <c r="Q77" i="45"/>
  <c r="S77" i="45" s="1"/>
  <c r="V77" i="45" s="1"/>
  <c r="W77" i="45" s="1"/>
  <c r="Q57" i="45"/>
  <c r="S57" i="45" s="1"/>
  <c r="V57" i="45" s="1"/>
  <c r="W57" i="45" s="1"/>
  <c r="Q32" i="45"/>
  <c r="S32" i="45" s="1"/>
  <c r="V32" i="45" s="1"/>
  <c r="W32" i="45" s="1"/>
  <c r="Q111" i="45"/>
  <c r="S111" i="45" s="1"/>
  <c r="V111" i="45" s="1"/>
  <c r="W111" i="45" s="1"/>
  <c r="Q152" i="45"/>
  <c r="S152" i="45" s="1"/>
  <c r="V152" i="45" s="1"/>
  <c r="W152" i="45" s="1"/>
  <c r="Q162" i="45"/>
  <c r="S162" i="45" s="1"/>
  <c r="V162" i="45" s="1"/>
  <c r="W162" i="45" s="1"/>
  <c r="Q188" i="45"/>
  <c r="S188" i="45" s="1"/>
  <c r="V188" i="45" s="1"/>
  <c r="W188" i="45" s="1"/>
  <c r="Q81" i="45"/>
  <c r="S81" i="45" s="1"/>
  <c r="V81" i="45" s="1"/>
  <c r="W81" i="45" s="1"/>
  <c r="Q76" i="45"/>
  <c r="S76" i="45" s="1"/>
  <c r="V76" i="45" s="1"/>
  <c r="W76" i="45" s="1"/>
  <c r="Q18" i="45"/>
  <c r="S18" i="45" s="1"/>
  <c r="V18" i="45" s="1"/>
  <c r="W18" i="45" s="1"/>
  <c r="Q61" i="45"/>
  <c r="S61" i="45" s="1"/>
  <c r="V61" i="45" s="1"/>
  <c r="W61" i="45" s="1"/>
  <c r="Q98" i="45"/>
  <c r="S98" i="45" s="1"/>
  <c r="V98" i="45" s="1"/>
  <c r="W98" i="45" s="1"/>
  <c r="Q93" i="45"/>
  <c r="S93" i="45" s="1"/>
  <c r="V93" i="45" s="1"/>
  <c r="W93" i="45" s="1"/>
  <c r="Q53" i="45"/>
  <c r="S53" i="45" s="1"/>
  <c r="V53" i="45" s="1"/>
  <c r="W53" i="45" s="1"/>
  <c r="Q73" i="45"/>
  <c r="S73" i="45" s="1"/>
  <c r="V73" i="45" s="1"/>
  <c r="W73" i="45" s="1"/>
  <c r="Q144" i="45"/>
  <c r="S144" i="45" s="1"/>
  <c r="V144" i="45" s="1"/>
  <c r="W144" i="45" s="1"/>
  <c r="Q168" i="45"/>
  <c r="S168" i="45" s="1"/>
  <c r="V168" i="45" s="1"/>
  <c r="W168" i="45" s="1"/>
  <c r="Q160" i="45"/>
  <c r="S160" i="45" s="1"/>
  <c r="V160" i="45" s="1"/>
  <c r="W160" i="45" s="1"/>
  <c r="Q142" i="45"/>
  <c r="S142" i="45" s="1"/>
  <c r="V142" i="45" s="1"/>
  <c r="W142" i="45" s="1"/>
  <c r="Q13" i="45"/>
  <c r="S13" i="45" s="1"/>
  <c r="V13" i="45" s="1"/>
  <c r="W13" i="45" s="1"/>
  <c r="Q115" i="45"/>
  <c r="S115" i="45" s="1"/>
  <c r="V115" i="45" s="1"/>
  <c r="W115" i="45" s="1"/>
  <c r="Q130" i="45"/>
  <c r="S130" i="45" s="1"/>
  <c r="V130" i="45" s="1"/>
  <c r="W130" i="45" s="1"/>
  <c r="Q106" i="45"/>
  <c r="S106" i="45" s="1"/>
  <c r="V106" i="45" s="1"/>
  <c r="W106" i="45" s="1"/>
  <c r="Q65" i="45"/>
  <c r="S65" i="45" s="1"/>
  <c r="V65" i="45" s="1"/>
  <c r="W65" i="45" s="1"/>
  <c r="Q174" i="45"/>
  <c r="S174" i="45" s="1"/>
  <c r="V174" i="45" s="1"/>
  <c r="W174" i="45" s="1"/>
  <c r="Q161" i="45"/>
  <c r="S161" i="45" s="1"/>
  <c r="V161" i="45" s="1"/>
  <c r="W161" i="45" s="1"/>
  <c r="Q24" i="45"/>
  <c r="S24" i="45" s="1"/>
  <c r="V24" i="45" s="1"/>
  <c r="W24" i="45" s="1"/>
  <c r="Q207" i="45"/>
  <c r="S207" i="45" s="1"/>
  <c r="V207" i="45" s="1"/>
  <c r="W207" i="45" s="1"/>
  <c r="Q189" i="45"/>
  <c r="S189" i="45" s="1"/>
  <c r="V189" i="45" s="1"/>
  <c r="W189" i="45" s="1"/>
  <c r="Q173" i="45"/>
  <c r="S173" i="45" s="1"/>
  <c r="V173" i="45" s="1"/>
  <c r="W173" i="45" s="1"/>
  <c r="Q155" i="45"/>
  <c r="S155" i="45" s="1"/>
  <c r="V155" i="45" s="1"/>
  <c r="W155" i="45" s="1"/>
  <c r="Q104" i="45"/>
  <c r="S104" i="45" s="1"/>
  <c r="V104" i="45" s="1"/>
  <c r="W104" i="45" s="1"/>
  <c r="Q88" i="45"/>
  <c r="S88" i="45" s="1"/>
  <c r="V88" i="45" s="1"/>
  <c r="W88" i="45" s="1"/>
  <c r="Q64" i="45"/>
  <c r="S64" i="45" s="1"/>
  <c r="V64" i="45" s="1"/>
  <c r="W64" i="45" s="1"/>
  <c r="Q9" i="45"/>
  <c r="S9" i="45" s="1"/>
  <c r="V9" i="45" s="1"/>
  <c r="W9" i="45" s="1"/>
  <c r="Q17" i="45"/>
  <c r="S17" i="45" s="1"/>
  <c r="V17" i="45" s="1"/>
  <c r="W17" i="45" s="1"/>
  <c r="Q29" i="45"/>
  <c r="S29" i="45" s="1"/>
  <c r="V29" i="45" s="1"/>
  <c r="W29" i="45" s="1"/>
  <c r="Q209" i="45"/>
  <c r="S209" i="45" s="1"/>
  <c r="V209" i="45" s="1"/>
  <c r="W209" i="45" s="1"/>
  <c r="Q224" i="45"/>
  <c r="S224" i="45" s="1"/>
  <c r="V224" i="45" s="1"/>
  <c r="W224" i="45" s="1"/>
  <c r="Q128" i="45"/>
  <c r="S128" i="45" s="1"/>
  <c r="V128" i="45" s="1"/>
  <c r="W128" i="45" s="1"/>
  <c r="Q205" i="45"/>
  <c r="S205" i="45" s="1"/>
  <c r="V205" i="45" s="1"/>
  <c r="W205" i="45" s="1"/>
  <c r="Q158" i="45"/>
  <c r="S158" i="45" s="1"/>
  <c r="V158" i="45" s="1"/>
  <c r="W158" i="45" s="1"/>
  <c r="Q134" i="45"/>
  <c r="S134" i="45" s="1"/>
  <c r="V134" i="45" s="1"/>
  <c r="W134" i="45" s="1"/>
  <c r="Q99" i="45"/>
  <c r="S99" i="45" s="1"/>
  <c r="V99" i="45" s="1"/>
  <c r="W99" i="45" s="1"/>
  <c r="Q85" i="45"/>
  <c r="S85" i="45" s="1"/>
  <c r="V85" i="45" s="1"/>
  <c r="W85" i="45" s="1"/>
  <c r="Q146" i="45"/>
  <c r="S146" i="45" s="1"/>
  <c r="V146" i="45" s="1"/>
  <c r="W146" i="45" s="1"/>
  <c r="Q34" i="45"/>
  <c r="S34" i="45" s="1"/>
  <c r="V34" i="45" s="1"/>
  <c r="W34" i="45" s="1"/>
  <c r="Q5" i="45"/>
  <c r="Q180" i="45"/>
  <c r="S180" i="45" s="1"/>
  <c r="V180" i="45" s="1"/>
  <c r="W180" i="45" s="1"/>
  <c r="Q177" i="45"/>
  <c r="S177" i="45" s="1"/>
  <c r="V177" i="45" s="1"/>
  <c r="W177" i="45" s="1"/>
  <c r="Q167" i="45"/>
  <c r="S167" i="45" s="1"/>
  <c r="V167" i="45" s="1"/>
  <c r="W167" i="45" s="1"/>
  <c r="Q154" i="45"/>
  <c r="S154" i="45" s="1"/>
  <c r="V154" i="45" s="1"/>
  <c r="W154" i="45" s="1"/>
  <c r="Q138" i="45"/>
  <c r="S138" i="45" s="1"/>
  <c r="V138" i="45" s="1"/>
  <c r="W138" i="45" s="1"/>
  <c r="Q89" i="45"/>
  <c r="S89" i="45" s="1"/>
  <c r="V89" i="45" s="1"/>
  <c r="W89" i="45" s="1"/>
  <c r="Q203" i="45"/>
  <c r="S203" i="45" s="1"/>
  <c r="V203" i="45" s="1"/>
  <c r="W203" i="45" s="1"/>
  <c r="Q175" i="45"/>
  <c r="S175" i="45" s="1"/>
  <c r="V175" i="45" s="1"/>
  <c r="W175" i="45" s="1"/>
  <c r="Q139" i="45"/>
  <c r="S139" i="45" s="1"/>
  <c r="V139" i="45" s="1"/>
  <c r="W139" i="45" s="1"/>
  <c r="Q108" i="45"/>
  <c r="S108" i="45" s="1"/>
  <c r="V108" i="45" s="1"/>
  <c r="W108" i="45" s="1"/>
  <c r="Q107" i="45"/>
  <c r="S107" i="45" s="1"/>
  <c r="V107" i="45" s="1"/>
  <c r="W107" i="45" s="1"/>
  <c r="Q46" i="45"/>
  <c r="S46" i="45" s="1"/>
  <c r="V46" i="45" s="1"/>
  <c r="W46" i="45" s="1"/>
  <c r="S179" i="44"/>
  <c r="V179" i="44" s="1"/>
  <c r="W179" i="44" s="1"/>
  <c r="S192" i="44"/>
  <c r="V192" i="44" s="1"/>
  <c r="W192" i="44" s="1"/>
  <c r="S93" i="44"/>
  <c r="V93" i="44" s="1"/>
  <c r="W93" i="44" s="1"/>
  <c r="S140" i="44"/>
  <c r="V140" i="44" s="1"/>
  <c r="W140" i="44" s="1"/>
  <c r="S177" i="44"/>
  <c r="V177" i="44" s="1"/>
  <c r="W177" i="44" s="1"/>
  <c r="S62" i="44"/>
  <c r="V62" i="44" s="1"/>
  <c r="W62" i="44" s="1"/>
  <c r="S32" i="44"/>
  <c r="V32" i="44" s="1"/>
  <c r="W32" i="44" s="1"/>
  <c r="S67" i="44"/>
  <c r="V67" i="44" s="1"/>
  <c r="W67" i="44" s="1"/>
  <c r="S167" i="44"/>
  <c r="V167" i="44" s="1"/>
  <c r="W167" i="44" s="1"/>
  <c r="S115" i="44"/>
  <c r="V115" i="44" s="1"/>
  <c r="W115" i="44" s="1"/>
  <c r="S210" i="44"/>
  <c r="V210" i="44" s="1"/>
  <c r="W210" i="44" s="1"/>
  <c r="S120" i="44"/>
  <c r="V120" i="44" s="1"/>
  <c r="W120" i="44" s="1"/>
  <c r="S216" i="44"/>
  <c r="V216" i="44" s="1"/>
  <c r="W216" i="44" s="1"/>
  <c r="S186" i="44"/>
  <c r="V186" i="44" s="1"/>
  <c r="W186" i="44" s="1"/>
  <c r="S130" i="44"/>
  <c r="V130" i="44" s="1"/>
  <c r="W130" i="44" s="1"/>
  <c r="S43" i="44"/>
  <c r="V43" i="44" s="1"/>
  <c r="W43" i="44" s="1"/>
  <c r="S123" i="44"/>
  <c r="V123" i="44" s="1"/>
  <c r="W123" i="44" s="1"/>
  <c r="S198" i="44"/>
  <c r="V198" i="44" s="1"/>
  <c r="W198" i="44" s="1"/>
  <c r="S168" i="44"/>
  <c r="V168" i="44" s="1"/>
  <c r="W168" i="44" s="1"/>
  <c r="S121" i="44"/>
  <c r="V121" i="44" s="1"/>
  <c r="W121" i="44" s="1"/>
  <c r="S42" i="44"/>
  <c r="V42" i="44" s="1"/>
  <c r="W42" i="44" s="1"/>
  <c r="S39" i="44"/>
  <c r="V39" i="44" s="1"/>
  <c r="W39" i="44" s="1"/>
  <c r="S223" i="44"/>
  <c r="V223" i="44" s="1"/>
  <c r="W223" i="44" s="1"/>
  <c r="S157" i="44"/>
  <c r="V157" i="44" s="1"/>
  <c r="W157" i="44" s="1"/>
  <c r="S48" i="44"/>
  <c r="V48" i="44" s="1"/>
  <c r="W48" i="44" s="1"/>
  <c r="Q21" i="44"/>
  <c r="S19" i="44"/>
  <c r="V19" i="44" s="1"/>
  <c r="W19" i="44" s="1"/>
  <c r="Q222" i="44"/>
  <c r="Q173" i="44"/>
  <c r="Q150" i="44"/>
  <c r="S161" i="44"/>
  <c r="V161" i="44" s="1"/>
  <c r="W161" i="44" s="1"/>
  <c r="S109" i="44"/>
  <c r="V109" i="44" s="1"/>
  <c r="W109" i="44" s="1"/>
  <c r="S76" i="44"/>
  <c r="V76" i="44" s="1"/>
  <c r="W76" i="44" s="1"/>
  <c r="Q86" i="44"/>
  <c r="Q30" i="44"/>
  <c r="S60" i="44"/>
  <c r="V60" i="44" s="1"/>
  <c r="W60" i="44" s="1"/>
  <c r="Q45" i="44"/>
  <c r="S181" i="44"/>
  <c r="V181" i="44" s="1"/>
  <c r="W181" i="44" s="1"/>
  <c r="S211" i="44"/>
  <c r="V211" i="44" s="1"/>
  <c r="W211" i="44" s="1"/>
  <c r="Q24" i="44"/>
  <c r="S202" i="44"/>
  <c r="V202" i="44" s="1"/>
  <c r="W202" i="44" s="1"/>
  <c r="Q151" i="44"/>
  <c r="S169" i="44"/>
  <c r="V169" i="44" s="1"/>
  <c r="W169" i="44" s="1"/>
  <c r="S125" i="44"/>
  <c r="V125" i="44" s="1"/>
  <c r="W125" i="44" s="1"/>
  <c r="S66" i="44"/>
  <c r="V66" i="44" s="1"/>
  <c r="W66" i="44" s="1"/>
  <c r="Q79" i="44"/>
  <c r="S96" i="44"/>
  <c r="V96" i="44" s="1"/>
  <c r="W96" i="44" s="1"/>
  <c r="Q85" i="44"/>
  <c r="Q77" i="44"/>
  <c r="Q57" i="44"/>
  <c r="Q52" i="44"/>
  <c r="Q97" i="44"/>
  <c r="S122" i="44"/>
  <c r="V122" i="44" s="1"/>
  <c r="W122" i="44" s="1"/>
  <c r="S146" i="44"/>
  <c r="V146" i="44" s="1"/>
  <c r="W146" i="44" s="1"/>
  <c r="S148" i="44"/>
  <c r="V148" i="44" s="1"/>
  <c r="W148" i="44" s="1"/>
  <c r="Q170" i="44"/>
  <c r="S83" i="44"/>
  <c r="V83" i="44" s="1"/>
  <c r="W83" i="44" s="1"/>
  <c r="Q87" i="44"/>
  <c r="Q147" i="44"/>
  <c r="S54" i="44"/>
  <c r="V54" i="44" s="1"/>
  <c r="W54" i="44" s="1"/>
  <c r="S98" i="44"/>
  <c r="V98" i="44" s="1"/>
  <c r="W98" i="44" s="1"/>
  <c r="S119" i="44"/>
  <c r="V119" i="44" s="1"/>
  <c r="W119" i="44" s="1"/>
  <c r="S16" i="44"/>
  <c r="V16" i="44" s="1"/>
  <c r="W16" i="44" s="1"/>
  <c r="Q209" i="44"/>
  <c r="S203" i="44"/>
  <c r="V203" i="44" s="1"/>
  <c r="W203" i="44" s="1"/>
  <c r="S200" i="44"/>
  <c r="V200" i="44" s="1"/>
  <c r="W200" i="44" s="1"/>
  <c r="S188" i="44"/>
  <c r="V188" i="44" s="1"/>
  <c r="W188" i="44" s="1"/>
  <c r="Q116" i="44"/>
  <c r="S153" i="44"/>
  <c r="V153" i="44" s="1"/>
  <c r="W153" i="44" s="1"/>
  <c r="S105" i="44"/>
  <c r="V105" i="44" s="1"/>
  <c r="W105" i="44" s="1"/>
  <c r="Q106" i="44"/>
  <c r="Q73" i="44"/>
  <c r="Q58" i="44"/>
  <c r="Q72" i="44"/>
  <c r="S95" i="44"/>
  <c r="V95" i="44" s="1"/>
  <c r="W95" i="44" s="1"/>
  <c r="S74" i="44"/>
  <c r="V74" i="44" s="1"/>
  <c r="W74" i="44" s="1"/>
  <c r="Q71" i="44"/>
  <c r="Q103" i="44"/>
  <c r="Q108" i="44"/>
  <c r="S63" i="44"/>
  <c r="V63" i="44" s="1"/>
  <c r="W63" i="44" s="1"/>
  <c r="Q12" i="44"/>
  <c r="Q215" i="44"/>
  <c r="S190" i="44"/>
  <c r="V190" i="44" s="1"/>
  <c r="W190" i="44" s="1"/>
  <c r="Q162" i="44"/>
  <c r="S218" i="44"/>
  <c r="V218" i="44" s="1"/>
  <c r="W218" i="44" s="1"/>
  <c r="Q133" i="44"/>
  <c r="Q117" i="44"/>
  <c r="S59" i="44"/>
  <c r="V59" i="44" s="1"/>
  <c r="W59" i="44" s="1"/>
  <c r="Q65" i="44"/>
  <c r="S35" i="44"/>
  <c r="V35" i="44" s="1"/>
  <c r="W35" i="44" s="1"/>
  <c r="S15" i="44"/>
  <c r="V15" i="44" s="1"/>
  <c r="W15" i="44" s="1"/>
  <c r="S227" i="44"/>
  <c r="V227" i="44" s="1"/>
  <c r="W227" i="44" s="1"/>
  <c r="S164" i="44"/>
  <c r="V164" i="44" s="1"/>
  <c r="W164" i="44" s="1"/>
  <c r="Q204" i="44"/>
  <c r="Q185" i="44"/>
  <c r="S220" i="44"/>
  <c r="V220" i="44" s="1"/>
  <c r="W220" i="44" s="1"/>
  <c r="S205" i="44"/>
  <c r="V205" i="44" s="1"/>
  <c r="W205" i="44" s="1"/>
  <c r="Q213" i="44"/>
  <c r="S139" i="44"/>
  <c r="V139" i="44" s="1"/>
  <c r="W139" i="44" s="1"/>
  <c r="Q114" i="44"/>
  <c r="S56" i="44"/>
  <c r="V56" i="44" s="1"/>
  <c r="W56" i="44" s="1"/>
  <c r="Q41" i="44"/>
  <c r="S61" i="44"/>
  <c r="V61" i="44" s="1"/>
  <c r="W61" i="44" s="1"/>
  <c r="Q40" i="44"/>
  <c r="S26" i="44"/>
  <c r="V26" i="44" s="1"/>
  <c r="W26" i="44" s="1"/>
  <c r="Q112" i="44"/>
  <c r="S113" i="44"/>
  <c r="V113" i="44" s="1"/>
  <c r="W113" i="44" s="1"/>
  <c r="S102" i="44"/>
  <c r="V102" i="44" s="1"/>
  <c r="W102" i="44" s="1"/>
  <c r="Q197" i="44"/>
  <c r="S178" i="44"/>
  <c r="V178" i="44" s="1"/>
  <c r="W178" i="44" s="1"/>
  <c r="S155" i="44"/>
  <c r="V155" i="44" s="1"/>
  <c r="W155" i="44" s="1"/>
  <c r="S137" i="44"/>
  <c r="V137" i="44" s="1"/>
  <c r="W137" i="44" s="1"/>
  <c r="S143" i="44"/>
  <c r="V143" i="44" s="1"/>
  <c r="W143" i="44" s="1"/>
  <c r="S138" i="44"/>
  <c r="V138" i="44" s="1"/>
  <c r="W138" i="44" s="1"/>
  <c r="S160" i="44"/>
  <c r="V160" i="44" s="1"/>
  <c r="W160" i="44" s="1"/>
  <c r="Q226" i="44"/>
  <c r="S44" i="44"/>
  <c r="V44" i="44" s="1"/>
  <c r="W44" i="44" s="1"/>
  <c r="Q50" i="44"/>
  <c r="S172" i="44"/>
  <c r="V172" i="44" s="1"/>
  <c r="W172" i="44" s="1"/>
  <c r="S212" i="44"/>
  <c r="V212" i="44" s="1"/>
  <c r="W212" i="44" s="1"/>
  <c r="Q182" i="44"/>
  <c r="S126" i="44"/>
  <c r="V126" i="44" s="1"/>
  <c r="W126" i="44" s="1"/>
  <c r="S208" i="44"/>
  <c r="V208" i="44" s="1"/>
  <c r="W208" i="44" s="1"/>
  <c r="S207" i="44"/>
  <c r="V207" i="44" s="1"/>
  <c r="W207" i="44" s="1"/>
  <c r="Q75" i="44"/>
  <c r="Q53" i="44"/>
  <c r="Q27" i="44"/>
  <c r="Q46" i="44"/>
  <c r="Q36" i="44"/>
  <c r="S14" i="44"/>
  <c r="V14" i="44" s="1"/>
  <c r="W14" i="44" s="1"/>
  <c r="S7" i="44"/>
  <c r="V7" i="44" s="1"/>
  <c r="W7" i="44" s="1"/>
  <c r="Q29" i="44"/>
  <c r="Q89" i="44"/>
  <c r="S49" i="44"/>
  <c r="V49" i="44" s="1"/>
  <c r="W49" i="44" s="1"/>
  <c r="S195" i="44"/>
  <c r="V195" i="44" s="1"/>
  <c r="W195" i="44" s="1"/>
  <c r="S199" i="44"/>
  <c r="V199" i="44" s="1"/>
  <c r="W199" i="44" s="1"/>
  <c r="S128" i="44"/>
  <c r="V128" i="44" s="1"/>
  <c r="W128" i="44" s="1"/>
  <c r="Q201" i="44"/>
  <c r="S149" i="44"/>
  <c r="V149" i="44" s="1"/>
  <c r="W149" i="44" s="1"/>
  <c r="Q217" i="44"/>
  <c r="S193" i="44"/>
  <c r="V193" i="44" s="1"/>
  <c r="W193" i="44" s="1"/>
  <c r="Q145" i="44"/>
  <c r="S129" i="44"/>
  <c r="V129" i="44" s="1"/>
  <c r="W129" i="44" s="1"/>
  <c r="S196" i="44"/>
  <c r="V196" i="44" s="1"/>
  <c r="W196" i="44" s="1"/>
  <c r="Q99" i="44"/>
  <c r="Q135" i="44"/>
  <c r="S142" i="44"/>
  <c r="V142" i="44" s="1"/>
  <c r="W142" i="44" s="1"/>
  <c r="Q94" i="44"/>
  <c r="S28" i="44"/>
  <c r="V28" i="44" s="1"/>
  <c r="W28" i="44" s="1"/>
  <c r="Q17" i="44"/>
  <c r="S84" i="44"/>
  <c r="V84" i="44" s="1"/>
  <c r="W84" i="44" s="1"/>
  <c r="S18" i="44"/>
  <c r="V18" i="44" s="1"/>
  <c r="W18" i="44" s="1"/>
  <c r="S5" i="45" l="1"/>
  <c r="V5" i="45" s="1"/>
  <c r="W5" i="45" s="1"/>
  <c r="S106" i="44"/>
  <c r="V106" i="44" s="1"/>
  <c r="W106" i="44" s="1"/>
  <c r="S30" i="44"/>
  <c r="V30" i="44" s="1"/>
  <c r="W30" i="44" s="1"/>
  <c r="S21" i="44"/>
  <c r="V21" i="44" s="1"/>
  <c r="W21" i="44" s="1"/>
  <c r="S145" i="44"/>
  <c r="V145" i="44" s="1"/>
  <c r="W145" i="44" s="1"/>
  <c r="S27" i="44"/>
  <c r="V27" i="44" s="1"/>
  <c r="W27" i="44" s="1"/>
  <c r="S65" i="44"/>
  <c r="V65" i="44" s="1"/>
  <c r="W65" i="44" s="1"/>
  <c r="S97" i="44"/>
  <c r="V97" i="44" s="1"/>
  <c r="W97" i="44" s="1"/>
  <c r="S185" i="44"/>
  <c r="V185" i="44" s="1"/>
  <c r="W185" i="44" s="1"/>
  <c r="S17" i="44"/>
  <c r="V17" i="44" s="1"/>
  <c r="W17" i="44" s="1"/>
  <c r="S204" i="44"/>
  <c r="V204" i="44" s="1"/>
  <c r="W204" i="44" s="1"/>
  <c r="S57" i="44"/>
  <c r="V57" i="44" s="1"/>
  <c r="W57" i="44" s="1"/>
  <c r="S151" i="44"/>
  <c r="V151" i="44" s="1"/>
  <c r="W151" i="44" s="1"/>
  <c r="S46" i="44"/>
  <c r="V46" i="44" s="1"/>
  <c r="W46" i="44" s="1"/>
  <c r="S52" i="44"/>
  <c r="V52" i="44" s="1"/>
  <c r="W52" i="44" s="1"/>
  <c r="S117" i="44"/>
  <c r="V117" i="44" s="1"/>
  <c r="W117" i="44" s="1"/>
  <c r="S108" i="44"/>
  <c r="V108" i="44" s="1"/>
  <c r="W108" i="44" s="1"/>
  <c r="S116" i="44"/>
  <c r="V116" i="44" s="1"/>
  <c r="W116" i="44" s="1"/>
  <c r="S147" i="44"/>
  <c r="V147" i="44" s="1"/>
  <c r="W147" i="44" s="1"/>
  <c r="S77" i="44"/>
  <c r="V77" i="44" s="1"/>
  <c r="W77" i="44" s="1"/>
  <c r="S75" i="44"/>
  <c r="V75" i="44" s="1"/>
  <c r="W75" i="44" s="1"/>
  <c r="S41" i="44"/>
  <c r="V41" i="44" s="1"/>
  <c r="W41" i="44" s="1"/>
  <c r="S133" i="44"/>
  <c r="V133" i="44" s="1"/>
  <c r="W133" i="44" s="1"/>
  <c r="S103" i="44"/>
  <c r="V103" i="44" s="1"/>
  <c r="W103" i="44" s="1"/>
  <c r="S87" i="44"/>
  <c r="V87" i="44" s="1"/>
  <c r="W87" i="44" s="1"/>
  <c r="S85" i="44"/>
  <c r="V85" i="44" s="1"/>
  <c r="W85" i="44" s="1"/>
  <c r="S24" i="44"/>
  <c r="V24" i="44" s="1"/>
  <c r="W24" i="44" s="1"/>
  <c r="S36" i="44"/>
  <c r="V36" i="44" s="1"/>
  <c r="W36" i="44" s="1"/>
  <c r="S73" i="44"/>
  <c r="V73" i="44" s="1"/>
  <c r="W73" i="44" s="1"/>
  <c r="S40" i="44"/>
  <c r="V40" i="44" s="1"/>
  <c r="W40" i="44" s="1"/>
  <c r="S12" i="44"/>
  <c r="V12" i="44" s="1"/>
  <c r="W12" i="44" s="1"/>
  <c r="S94" i="44"/>
  <c r="V94" i="44" s="1"/>
  <c r="W94" i="44" s="1"/>
  <c r="S89" i="44"/>
  <c r="V89" i="44" s="1"/>
  <c r="W89" i="44" s="1"/>
  <c r="S226" i="44"/>
  <c r="V226" i="44" s="1"/>
  <c r="W226" i="44" s="1"/>
  <c r="S71" i="44"/>
  <c r="V71" i="44" s="1"/>
  <c r="W71" i="44" s="1"/>
  <c r="S217" i="44"/>
  <c r="V217" i="44" s="1"/>
  <c r="W217" i="44" s="1"/>
  <c r="S197" i="44"/>
  <c r="V197" i="44" s="1"/>
  <c r="W197" i="44" s="1"/>
  <c r="S201" i="44"/>
  <c r="V201" i="44" s="1"/>
  <c r="W201" i="44" s="1"/>
  <c r="S29" i="44"/>
  <c r="V29" i="44" s="1"/>
  <c r="W29" i="44" s="1"/>
  <c r="S114" i="44"/>
  <c r="V114" i="44" s="1"/>
  <c r="W114" i="44" s="1"/>
  <c r="S170" i="44"/>
  <c r="V170" i="44" s="1"/>
  <c r="W170" i="44" s="1"/>
  <c r="S150" i="44"/>
  <c r="V150" i="44" s="1"/>
  <c r="W150" i="44" s="1"/>
  <c r="S86" i="44"/>
  <c r="V86" i="44" s="1"/>
  <c r="W86" i="44" s="1"/>
  <c r="S50" i="44"/>
  <c r="V50" i="44" s="1"/>
  <c r="W50" i="44" s="1"/>
  <c r="S135" i="44"/>
  <c r="V135" i="44" s="1"/>
  <c r="W135" i="44" s="1"/>
  <c r="S162" i="44"/>
  <c r="V162" i="44" s="1"/>
  <c r="W162" i="44" s="1"/>
  <c r="S79" i="44"/>
  <c r="V79" i="44" s="1"/>
  <c r="W79" i="44" s="1"/>
  <c r="S173" i="44"/>
  <c r="V173" i="44" s="1"/>
  <c r="W173" i="44" s="1"/>
  <c r="S99" i="44"/>
  <c r="V99" i="44" s="1"/>
  <c r="W99" i="44" s="1"/>
  <c r="S72" i="44"/>
  <c r="V72" i="44" s="1"/>
  <c r="W72" i="44" s="1"/>
  <c r="S209" i="44"/>
  <c r="V209" i="44" s="1"/>
  <c r="W209" i="44" s="1"/>
  <c r="S222" i="44"/>
  <c r="V222" i="44" s="1"/>
  <c r="W222" i="44" s="1"/>
  <c r="S53" i="44"/>
  <c r="V53" i="44" s="1"/>
  <c r="W53" i="44" s="1"/>
  <c r="S112" i="44"/>
  <c r="V112" i="44" s="1"/>
  <c r="W112" i="44" s="1"/>
  <c r="S182" i="44"/>
  <c r="V182" i="44" s="1"/>
  <c r="W182" i="44" s="1"/>
  <c r="S213" i="44"/>
  <c r="V213" i="44" s="1"/>
  <c r="W213" i="44" s="1"/>
  <c r="S215" i="44"/>
  <c r="V215" i="44" s="1"/>
  <c r="W215" i="44" s="1"/>
  <c r="S58" i="44"/>
  <c r="V58" i="44" s="1"/>
  <c r="W58" i="44" s="1"/>
  <c r="S45" i="44"/>
  <c r="V45" i="44" s="1"/>
  <c r="W45" i="44" s="1"/>
  <c r="G229" i="43" l="1"/>
  <c r="H229" i="43" s="1"/>
  <c r="H227" i="43"/>
  <c r="G227" i="43"/>
  <c r="H226" i="43"/>
  <c r="G226" i="43"/>
  <c r="G225" i="43"/>
  <c r="H225" i="43" s="1"/>
  <c r="G224" i="43"/>
  <c r="H224" i="43" s="1"/>
  <c r="G223" i="43"/>
  <c r="H223" i="43" s="1"/>
  <c r="G222" i="43"/>
  <c r="H222" i="43" s="1"/>
  <c r="H221" i="43"/>
  <c r="G221" i="43"/>
  <c r="H220" i="43"/>
  <c r="G220" i="43"/>
  <c r="G219" i="43"/>
  <c r="H219" i="43" s="1"/>
  <c r="G218" i="43"/>
  <c r="H218" i="43" s="1"/>
  <c r="G217" i="43"/>
  <c r="H217" i="43" s="1"/>
  <c r="G216" i="43"/>
  <c r="H216" i="43" s="1"/>
  <c r="H215" i="43"/>
  <c r="G215" i="43"/>
  <c r="H214" i="43"/>
  <c r="G214" i="43"/>
  <c r="G213" i="43"/>
  <c r="H213" i="43" s="1"/>
  <c r="G212" i="43"/>
  <c r="H212" i="43" s="1"/>
  <c r="G211" i="43"/>
  <c r="H211" i="43" s="1"/>
  <c r="G210" i="43"/>
  <c r="H210" i="43" s="1"/>
  <c r="H209" i="43"/>
  <c r="G209" i="43"/>
  <c r="H208" i="43"/>
  <c r="G208" i="43"/>
  <c r="G207" i="43"/>
  <c r="H207" i="43" s="1"/>
  <c r="G206" i="43"/>
  <c r="H206" i="43" s="1"/>
  <c r="G205" i="43"/>
  <c r="H205" i="43" s="1"/>
  <c r="G204" i="43"/>
  <c r="H204" i="43" s="1"/>
  <c r="H203" i="43"/>
  <c r="G203" i="43"/>
  <c r="H202" i="43"/>
  <c r="G202" i="43"/>
  <c r="G201" i="43"/>
  <c r="H201" i="43" s="1"/>
  <c r="G200" i="43"/>
  <c r="H200" i="43" s="1"/>
  <c r="G199" i="43"/>
  <c r="H199" i="43" s="1"/>
  <c r="G198" i="43"/>
  <c r="H198" i="43" s="1"/>
  <c r="H197" i="43"/>
  <c r="G197" i="43"/>
  <c r="H196" i="43"/>
  <c r="G196" i="43"/>
  <c r="G195" i="43"/>
  <c r="H195" i="43" s="1"/>
  <c r="G194" i="43"/>
  <c r="H194" i="43" s="1"/>
  <c r="G193" i="43"/>
  <c r="H193" i="43" s="1"/>
  <c r="G192" i="43"/>
  <c r="H192" i="43" s="1"/>
  <c r="H191" i="43"/>
  <c r="G191" i="43"/>
  <c r="H190" i="43"/>
  <c r="G190" i="43"/>
  <c r="G189" i="43"/>
  <c r="H189" i="43" s="1"/>
  <c r="G188" i="43"/>
  <c r="H188" i="43" s="1"/>
  <c r="G187" i="43"/>
  <c r="H187" i="43" s="1"/>
  <c r="G186" i="43"/>
  <c r="H186" i="43" s="1"/>
  <c r="H185" i="43"/>
  <c r="G185" i="43"/>
  <c r="H184" i="43"/>
  <c r="G184" i="43"/>
  <c r="G183" i="43"/>
  <c r="H183" i="43" s="1"/>
  <c r="G182" i="43"/>
  <c r="H182" i="43" s="1"/>
  <c r="G181" i="43"/>
  <c r="H181" i="43" s="1"/>
  <c r="G180" i="43"/>
  <c r="H180" i="43" s="1"/>
  <c r="H179" i="43"/>
  <c r="G179" i="43"/>
  <c r="H178" i="43"/>
  <c r="G178" i="43"/>
  <c r="G177" i="43"/>
  <c r="H177" i="43" s="1"/>
  <c r="G176" i="43"/>
  <c r="H176" i="43" s="1"/>
  <c r="G175" i="43"/>
  <c r="H175" i="43" s="1"/>
  <c r="G174" i="43"/>
  <c r="H174" i="43" s="1"/>
  <c r="H173" i="43"/>
  <c r="G173" i="43"/>
  <c r="H172" i="43"/>
  <c r="G172" i="43"/>
  <c r="G171" i="43"/>
  <c r="H171" i="43" s="1"/>
  <c r="G170" i="43"/>
  <c r="H170" i="43" s="1"/>
  <c r="G169" i="43"/>
  <c r="H169" i="43" s="1"/>
  <c r="G168" i="43"/>
  <c r="H168" i="43" s="1"/>
  <c r="H167" i="43"/>
  <c r="G167" i="43"/>
  <c r="H166" i="43"/>
  <c r="G166" i="43"/>
  <c r="G165" i="43"/>
  <c r="H165" i="43" s="1"/>
  <c r="G164" i="43"/>
  <c r="H164" i="43" s="1"/>
  <c r="G163" i="43"/>
  <c r="H163" i="43" s="1"/>
  <c r="G162" i="43"/>
  <c r="H162" i="43" s="1"/>
  <c r="H161" i="43"/>
  <c r="G161" i="43"/>
  <c r="H160" i="43"/>
  <c r="G160" i="43"/>
  <c r="G159" i="43"/>
  <c r="H159" i="43" s="1"/>
  <c r="G158" i="43"/>
  <c r="H158" i="43" s="1"/>
  <c r="G157" i="43"/>
  <c r="H157" i="43" s="1"/>
  <c r="G156" i="43"/>
  <c r="H156" i="43" s="1"/>
  <c r="H155" i="43"/>
  <c r="G155" i="43"/>
  <c r="H154" i="43"/>
  <c r="G154" i="43"/>
  <c r="G153" i="43"/>
  <c r="H153" i="43" s="1"/>
  <c r="G152" i="43"/>
  <c r="H152" i="43" s="1"/>
  <c r="G151" i="43"/>
  <c r="H151" i="43" s="1"/>
  <c r="E150" i="43"/>
  <c r="G150" i="43" s="1"/>
  <c r="H150" i="43" s="1"/>
  <c r="G149" i="43"/>
  <c r="H149" i="43" s="1"/>
  <c r="H148" i="43"/>
  <c r="G148" i="43"/>
  <c r="H147" i="43"/>
  <c r="G147" i="43"/>
  <c r="H146" i="43"/>
  <c r="G146" i="43"/>
  <c r="H145" i="43"/>
  <c r="G145" i="43"/>
  <c r="G144" i="43"/>
  <c r="H144" i="43" s="1"/>
  <c r="G143" i="43"/>
  <c r="H143" i="43" s="1"/>
  <c r="H142" i="43"/>
  <c r="G142" i="43"/>
  <c r="H141" i="43"/>
  <c r="G141" i="43"/>
  <c r="H140" i="43"/>
  <c r="G140" i="43"/>
  <c r="H139" i="43"/>
  <c r="G139" i="43"/>
  <c r="G138" i="43"/>
  <c r="H138" i="43" s="1"/>
  <c r="G137" i="43"/>
  <c r="H137" i="43" s="1"/>
  <c r="H136" i="43"/>
  <c r="G136" i="43"/>
  <c r="H135" i="43"/>
  <c r="G135" i="43"/>
  <c r="H134" i="43"/>
  <c r="G134" i="43"/>
  <c r="H133" i="43"/>
  <c r="G133" i="43"/>
  <c r="G132" i="43"/>
  <c r="H132" i="43" s="1"/>
  <c r="G131" i="43"/>
  <c r="H131" i="43" s="1"/>
  <c r="H130" i="43"/>
  <c r="G130" i="43"/>
  <c r="H129" i="43"/>
  <c r="G129" i="43"/>
  <c r="H128" i="43"/>
  <c r="G128" i="43"/>
  <c r="H127" i="43"/>
  <c r="G127" i="43"/>
  <c r="G126" i="43"/>
  <c r="H126" i="43" s="1"/>
  <c r="G125" i="43"/>
  <c r="H125" i="43" s="1"/>
  <c r="H124" i="43"/>
  <c r="G124" i="43"/>
  <c r="H123" i="43"/>
  <c r="G123" i="43"/>
  <c r="H122" i="43"/>
  <c r="G122" i="43"/>
  <c r="H121" i="43"/>
  <c r="G121" i="43"/>
  <c r="G120" i="43"/>
  <c r="H120" i="43" s="1"/>
  <c r="G119" i="43"/>
  <c r="H119" i="43" s="1"/>
  <c r="H118" i="43"/>
  <c r="G118" i="43"/>
  <c r="H117" i="43"/>
  <c r="G117" i="43"/>
  <c r="H116" i="43"/>
  <c r="G116" i="43"/>
  <c r="H115" i="43"/>
  <c r="G115" i="43"/>
  <c r="G114" i="43"/>
  <c r="H114" i="43" s="1"/>
  <c r="G113" i="43"/>
  <c r="H113" i="43" s="1"/>
  <c r="H112" i="43"/>
  <c r="G112" i="43"/>
  <c r="H111" i="43"/>
  <c r="G111" i="43"/>
  <c r="H110" i="43"/>
  <c r="G110" i="43"/>
  <c r="H109" i="43"/>
  <c r="G109" i="43"/>
  <c r="G108" i="43"/>
  <c r="H108" i="43" s="1"/>
  <c r="G107" i="43"/>
  <c r="H107" i="43" s="1"/>
  <c r="H106" i="43"/>
  <c r="G106" i="43"/>
  <c r="H105" i="43"/>
  <c r="G105" i="43"/>
  <c r="H104" i="43"/>
  <c r="G104" i="43"/>
  <c r="H103" i="43"/>
  <c r="G103" i="43"/>
  <c r="G102" i="43"/>
  <c r="H102" i="43" s="1"/>
  <c r="G101" i="43"/>
  <c r="H101" i="43" s="1"/>
  <c r="H100" i="43"/>
  <c r="G100" i="43"/>
  <c r="H99" i="43"/>
  <c r="G99" i="43"/>
  <c r="H98" i="43"/>
  <c r="G98" i="43"/>
  <c r="H97" i="43"/>
  <c r="G97" i="43"/>
  <c r="G96" i="43"/>
  <c r="H96" i="43" s="1"/>
  <c r="G95" i="43"/>
  <c r="H95" i="43" s="1"/>
  <c r="H94" i="43"/>
  <c r="G94" i="43"/>
  <c r="H93" i="43"/>
  <c r="G93" i="43"/>
  <c r="H92" i="43"/>
  <c r="G92" i="43"/>
  <c r="H91" i="43"/>
  <c r="G91" i="43"/>
  <c r="G90" i="43"/>
  <c r="H90" i="43" s="1"/>
  <c r="G89" i="43"/>
  <c r="H89" i="43" s="1"/>
  <c r="H88" i="43"/>
  <c r="G88" i="43"/>
  <c r="H87" i="43"/>
  <c r="G87" i="43"/>
  <c r="H86" i="43"/>
  <c r="G86" i="43"/>
  <c r="H85" i="43"/>
  <c r="G85" i="43"/>
  <c r="G84" i="43"/>
  <c r="H84" i="43" s="1"/>
  <c r="G83" i="43"/>
  <c r="H83" i="43" s="1"/>
  <c r="H82" i="43"/>
  <c r="G82" i="43"/>
  <c r="H81" i="43"/>
  <c r="G81" i="43"/>
  <c r="H80" i="43"/>
  <c r="G80" i="43"/>
  <c r="H79" i="43"/>
  <c r="G79" i="43"/>
  <c r="G78" i="43"/>
  <c r="H78" i="43" s="1"/>
  <c r="G77" i="43"/>
  <c r="H77" i="43" s="1"/>
  <c r="H76" i="43"/>
  <c r="G76" i="43"/>
  <c r="H75" i="43"/>
  <c r="G75" i="43"/>
  <c r="H74" i="43"/>
  <c r="G74" i="43"/>
  <c r="H73" i="43"/>
  <c r="G73" i="43"/>
  <c r="G72" i="43"/>
  <c r="H72" i="43" s="1"/>
  <c r="G71" i="43"/>
  <c r="H71" i="43" s="1"/>
  <c r="H70" i="43"/>
  <c r="G70" i="43"/>
  <c r="H69" i="43"/>
  <c r="G69" i="43"/>
  <c r="H68" i="43"/>
  <c r="G68" i="43"/>
  <c r="H67" i="43"/>
  <c r="G67" i="43"/>
  <c r="G66" i="43"/>
  <c r="H66" i="43" s="1"/>
  <c r="G65" i="43"/>
  <c r="H65" i="43" s="1"/>
  <c r="H64" i="43"/>
  <c r="G64" i="43"/>
  <c r="H63" i="43"/>
  <c r="G63" i="43"/>
  <c r="H62" i="43"/>
  <c r="G62" i="43"/>
  <c r="H61" i="43"/>
  <c r="G61" i="43"/>
  <c r="G60" i="43"/>
  <c r="H60" i="43" s="1"/>
  <c r="G59" i="43"/>
  <c r="H59" i="43" s="1"/>
  <c r="H58" i="43"/>
  <c r="G58" i="43"/>
  <c r="H57" i="43"/>
  <c r="G57" i="43"/>
  <c r="H56" i="43"/>
  <c r="G56" i="43"/>
  <c r="H55" i="43"/>
  <c r="G55" i="43"/>
  <c r="G54" i="43"/>
  <c r="H54" i="43" s="1"/>
  <c r="G53" i="43"/>
  <c r="H53" i="43" s="1"/>
  <c r="H52" i="43"/>
  <c r="G52" i="43"/>
  <c r="H51" i="43"/>
  <c r="G51" i="43"/>
  <c r="H50" i="43"/>
  <c r="G50" i="43"/>
  <c r="H49" i="43"/>
  <c r="G49" i="43"/>
  <c r="G48" i="43"/>
  <c r="H48" i="43" s="1"/>
  <c r="G47" i="43"/>
  <c r="H47" i="43" s="1"/>
  <c r="H46" i="43"/>
  <c r="G46" i="43"/>
  <c r="H45" i="43"/>
  <c r="G45" i="43"/>
  <c r="H44" i="43"/>
  <c r="G44" i="43"/>
  <c r="H43" i="43"/>
  <c r="G43" i="43"/>
  <c r="G42" i="43"/>
  <c r="H42" i="43" s="1"/>
  <c r="G41" i="43"/>
  <c r="H41" i="43" s="1"/>
  <c r="H40" i="43"/>
  <c r="G40" i="43"/>
  <c r="H39" i="43"/>
  <c r="G39" i="43"/>
  <c r="H38" i="43"/>
  <c r="G38" i="43"/>
  <c r="H37" i="43"/>
  <c r="G37" i="43"/>
  <c r="G36" i="43"/>
  <c r="H36" i="43" s="1"/>
  <c r="G35" i="43"/>
  <c r="H35" i="43" s="1"/>
  <c r="H34" i="43"/>
  <c r="G34" i="43"/>
  <c r="H33" i="43"/>
  <c r="G33" i="43"/>
  <c r="H32" i="43"/>
  <c r="G32" i="43"/>
  <c r="H31" i="43"/>
  <c r="G31" i="43"/>
  <c r="G30" i="43"/>
  <c r="H30" i="43" s="1"/>
  <c r="G29" i="43"/>
  <c r="H29" i="43" s="1"/>
  <c r="H28" i="43"/>
  <c r="G28" i="43"/>
  <c r="H27" i="43"/>
  <c r="G27" i="43"/>
  <c r="H26" i="43"/>
  <c r="G26" i="43"/>
  <c r="H25" i="43"/>
  <c r="G25" i="43"/>
  <c r="G24" i="43"/>
  <c r="H24" i="43" s="1"/>
  <c r="G23" i="43"/>
  <c r="H23" i="43" s="1"/>
  <c r="H22" i="43"/>
  <c r="G22" i="43"/>
  <c r="H21" i="43"/>
  <c r="G21" i="43"/>
  <c r="H20" i="43"/>
  <c r="G20" i="43"/>
  <c r="H19" i="43"/>
  <c r="G19" i="43"/>
  <c r="G18" i="43"/>
  <c r="H18" i="43" s="1"/>
  <c r="G17" i="43"/>
  <c r="H17" i="43" s="1"/>
  <c r="H16" i="43"/>
  <c r="G16" i="43"/>
  <c r="H15" i="43"/>
  <c r="G15" i="43"/>
  <c r="H14" i="43"/>
  <c r="G14" i="43"/>
  <c r="H13" i="43"/>
  <c r="G13" i="43"/>
  <c r="G12" i="43"/>
  <c r="H12" i="43" s="1"/>
  <c r="G11" i="43"/>
  <c r="H11" i="43" s="1"/>
  <c r="H10" i="43"/>
  <c r="G10" i="43"/>
  <c r="H9" i="43"/>
  <c r="G9" i="43"/>
  <c r="H8" i="43"/>
  <c r="G8" i="43"/>
  <c r="H7" i="43"/>
  <c r="G7" i="43"/>
  <c r="G6" i="43"/>
  <c r="H6" i="43" s="1"/>
  <c r="G5" i="43"/>
  <c r="H5" i="43" s="1"/>
  <c r="H4" i="43"/>
  <c r="G4" i="43"/>
  <c r="H3" i="43"/>
  <c r="G3" i="43"/>
  <c r="G11" i="42" l="1"/>
  <c r="G234" i="42"/>
  <c r="D234" i="42"/>
  <c r="G233" i="42"/>
  <c r="D233" i="42"/>
  <c r="G232" i="42"/>
  <c r="D232" i="42"/>
  <c r="G231" i="42"/>
  <c r="D231" i="42"/>
  <c r="G230" i="42"/>
  <c r="D230" i="42"/>
  <c r="G229" i="42"/>
  <c r="D229" i="42"/>
  <c r="G228" i="42"/>
  <c r="D228" i="42"/>
  <c r="G227" i="42"/>
  <c r="D227" i="42"/>
  <c r="G226" i="42"/>
  <c r="D226" i="42"/>
  <c r="G225" i="42"/>
  <c r="D225" i="42"/>
  <c r="G224" i="42"/>
  <c r="D224" i="42"/>
  <c r="G223" i="42"/>
  <c r="D223" i="42"/>
  <c r="G222" i="42"/>
  <c r="D222" i="42"/>
  <c r="G221" i="42"/>
  <c r="D221" i="42"/>
  <c r="G220" i="42"/>
  <c r="D220" i="42"/>
  <c r="G219" i="42"/>
  <c r="D219" i="42"/>
  <c r="G218" i="42"/>
  <c r="D218" i="42"/>
  <c r="G217" i="42"/>
  <c r="D217" i="42"/>
  <c r="G216" i="42"/>
  <c r="D216" i="42"/>
  <c r="G215" i="42"/>
  <c r="D215" i="42"/>
  <c r="G214" i="42"/>
  <c r="D214" i="42"/>
  <c r="G213" i="42"/>
  <c r="D213" i="42"/>
  <c r="G212" i="42"/>
  <c r="D212" i="42"/>
  <c r="G211" i="42"/>
  <c r="D211" i="42"/>
  <c r="G210" i="42"/>
  <c r="D210" i="42"/>
  <c r="G209" i="42"/>
  <c r="D209" i="42"/>
  <c r="G208" i="42"/>
  <c r="D208" i="42"/>
  <c r="G207" i="42"/>
  <c r="D207" i="42"/>
  <c r="G206" i="42"/>
  <c r="D206" i="42"/>
  <c r="G205" i="42"/>
  <c r="D205" i="42"/>
  <c r="G204" i="42"/>
  <c r="D204" i="42"/>
  <c r="G203" i="42"/>
  <c r="D203" i="42"/>
  <c r="G202" i="42"/>
  <c r="D202" i="42"/>
  <c r="G201" i="42"/>
  <c r="D201" i="42"/>
  <c r="G200" i="42"/>
  <c r="D200" i="42"/>
  <c r="G199" i="42"/>
  <c r="D199" i="42"/>
  <c r="G198" i="42"/>
  <c r="D198" i="42"/>
  <c r="G197" i="42"/>
  <c r="D197" i="42"/>
  <c r="G196" i="42"/>
  <c r="D196" i="42"/>
  <c r="G195" i="42"/>
  <c r="D195" i="42"/>
  <c r="G194" i="42"/>
  <c r="D194" i="42"/>
  <c r="G193" i="42"/>
  <c r="D193" i="42"/>
  <c r="G192" i="42"/>
  <c r="D192" i="42"/>
  <c r="G191" i="42"/>
  <c r="D191" i="42"/>
  <c r="G190" i="42"/>
  <c r="D190" i="42"/>
  <c r="G189" i="42"/>
  <c r="D189" i="42"/>
  <c r="G188" i="42"/>
  <c r="D188" i="42"/>
  <c r="G187" i="42"/>
  <c r="D187" i="42"/>
  <c r="G186" i="42"/>
  <c r="D186" i="42"/>
  <c r="G185" i="42"/>
  <c r="D185" i="42"/>
  <c r="G184" i="42"/>
  <c r="D184" i="42"/>
  <c r="G183" i="42"/>
  <c r="D183" i="42"/>
  <c r="G182" i="42"/>
  <c r="D182" i="42"/>
  <c r="G181" i="42"/>
  <c r="D181" i="42"/>
  <c r="G180" i="42"/>
  <c r="D180" i="42"/>
  <c r="G179" i="42"/>
  <c r="D179" i="42"/>
  <c r="G178" i="42"/>
  <c r="D178" i="42"/>
  <c r="G177" i="42"/>
  <c r="D177" i="42"/>
  <c r="G176" i="42"/>
  <c r="D176" i="42"/>
  <c r="G175" i="42"/>
  <c r="D175" i="42"/>
  <c r="G174" i="42"/>
  <c r="D174" i="42"/>
  <c r="G173" i="42"/>
  <c r="D173" i="42"/>
  <c r="G172" i="42"/>
  <c r="D172" i="42"/>
  <c r="G171" i="42"/>
  <c r="D171" i="42"/>
  <c r="G170" i="42"/>
  <c r="D170" i="42"/>
  <c r="G169" i="42"/>
  <c r="D169" i="42"/>
  <c r="G168" i="42"/>
  <c r="D168" i="42"/>
  <c r="G167" i="42"/>
  <c r="D167" i="42"/>
  <c r="G166" i="42"/>
  <c r="D166" i="42"/>
  <c r="G165" i="42"/>
  <c r="D165" i="42"/>
  <c r="G164" i="42"/>
  <c r="D164" i="42"/>
  <c r="G163" i="42"/>
  <c r="D163" i="42"/>
  <c r="G162" i="42"/>
  <c r="D162" i="42"/>
  <c r="G161" i="42"/>
  <c r="D161" i="42"/>
  <c r="G160" i="42"/>
  <c r="D160" i="42"/>
  <c r="G159" i="42"/>
  <c r="D159" i="42"/>
  <c r="G158" i="42"/>
  <c r="D158" i="42"/>
  <c r="G157" i="42"/>
  <c r="D157" i="42"/>
  <c r="G156" i="42"/>
  <c r="D156" i="42"/>
  <c r="G155" i="42"/>
  <c r="D155" i="42"/>
  <c r="G154" i="42"/>
  <c r="D154" i="42"/>
  <c r="G153" i="42"/>
  <c r="D153" i="42"/>
  <c r="G152" i="42"/>
  <c r="D152" i="42"/>
  <c r="G151" i="42"/>
  <c r="D151" i="42"/>
  <c r="G150" i="42"/>
  <c r="D150" i="42"/>
  <c r="G149" i="42"/>
  <c r="D149" i="42"/>
  <c r="G148" i="42"/>
  <c r="D148" i="42"/>
  <c r="G147" i="42"/>
  <c r="D147" i="42"/>
  <c r="G146" i="42"/>
  <c r="D146" i="42"/>
  <c r="G145" i="42"/>
  <c r="D145" i="42"/>
  <c r="G144" i="42"/>
  <c r="D144" i="42"/>
  <c r="G143" i="42"/>
  <c r="D143" i="42"/>
  <c r="G142" i="42"/>
  <c r="D142" i="42"/>
  <c r="G141" i="42"/>
  <c r="D141" i="42"/>
  <c r="G140" i="42"/>
  <c r="D140" i="42"/>
  <c r="G139" i="42"/>
  <c r="D139" i="42"/>
  <c r="G138" i="42"/>
  <c r="D138" i="42"/>
  <c r="G137" i="42"/>
  <c r="D137" i="42"/>
  <c r="G136" i="42"/>
  <c r="D136" i="42"/>
  <c r="G135" i="42"/>
  <c r="D135" i="42"/>
  <c r="G134" i="42"/>
  <c r="D134" i="42"/>
  <c r="G133" i="42"/>
  <c r="D133" i="42"/>
  <c r="G132" i="42"/>
  <c r="D132" i="42"/>
  <c r="G131" i="42"/>
  <c r="D131" i="42"/>
  <c r="G130" i="42"/>
  <c r="D130" i="42"/>
  <c r="G129" i="42"/>
  <c r="D129" i="42"/>
  <c r="G128" i="42"/>
  <c r="D128" i="42"/>
  <c r="G127" i="42"/>
  <c r="D127" i="42"/>
  <c r="G126" i="42"/>
  <c r="D126" i="42"/>
  <c r="G125" i="42"/>
  <c r="D125" i="42"/>
  <c r="G124" i="42"/>
  <c r="D124" i="42"/>
  <c r="G123" i="42"/>
  <c r="D123" i="42"/>
  <c r="G122" i="42"/>
  <c r="D122" i="42"/>
  <c r="G121" i="42"/>
  <c r="D121" i="42"/>
  <c r="G120" i="42"/>
  <c r="D120" i="42"/>
  <c r="G119" i="42"/>
  <c r="D119" i="42"/>
  <c r="G118" i="42"/>
  <c r="D118" i="42"/>
  <c r="G117" i="42"/>
  <c r="D117" i="42"/>
  <c r="G116" i="42"/>
  <c r="D116" i="42"/>
  <c r="G115" i="42"/>
  <c r="D115" i="42"/>
  <c r="G114" i="42"/>
  <c r="D114" i="42"/>
  <c r="G113" i="42"/>
  <c r="D113" i="42"/>
  <c r="G112" i="42"/>
  <c r="D112" i="42"/>
  <c r="G111" i="42"/>
  <c r="D111" i="42"/>
  <c r="G110" i="42"/>
  <c r="D110" i="42"/>
  <c r="G109" i="42"/>
  <c r="D109" i="42"/>
  <c r="G108" i="42"/>
  <c r="D108" i="42"/>
  <c r="G107" i="42"/>
  <c r="D107" i="42"/>
  <c r="G106" i="42"/>
  <c r="D106" i="42"/>
  <c r="G105" i="42"/>
  <c r="D105" i="42"/>
  <c r="G104" i="42"/>
  <c r="D104" i="42"/>
  <c r="G103" i="42"/>
  <c r="D103" i="42"/>
  <c r="G102" i="42"/>
  <c r="D102" i="42"/>
  <c r="G101" i="42"/>
  <c r="D101" i="42"/>
  <c r="G100" i="42"/>
  <c r="D100" i="42"/>
  <c r="G99" i="42"/>
  <c r="D99" i="42"/>
  <c r="G98" i="42"/>
  <c r="D98" i="42"/>
  <c r="G97" i="42"/>
  <c r="D97" i="42"/>
  <c r="G96" i="42"/>
  <c r="D96" i="42"/>
  <c r="G95" i="42"/>
  <c r="D95" i="42"/>
  <c r="G94" i="42"/>
  <c r="D94" i="42"/>
  <c r="G93" i="42"/>
  <c r="D93" i="42"/>
  <c r="G92" i="42"/>
  <c r="D92" i="42"/>
  <c r="G91" i="42"/>
  <c r="D91" i="42"/>
  <c r="G90" i="42"/>
  <c r="D90" i="42"/>
  <c r="G89" i="42"/>
  <c r="D89" i="42"/>
  <c r="G88" i="42"/>
  <c r="D88" i="42"/>
  <c r="G87" i="42"/>
  <c r="D87" i="42"/>
  <c r="G86" i="42"/>
  <c r="D86" i="42"/>
  <c r="G85" i="42"/>
  <c r="D85" i="42"/>
  <c r="G84" i="42"/>
  <c r="D84" i="42"/>
  <c r="G83" i="42"/>
  <c r="D83" i="42"/>
  <c r="G82" i="42"/>
  <c r="D82" i="42"/>
  <c r="G81" i="42"/>
  <c r="D81" i="42"/>
  <c r="G80" i="42"/>
  <c r="D80" i="42"/>
  <c r="G79" i="42"/>
  <c r="D79" i="42"/>
  <c r="G78" i="42"/>
  <c r="D78" i="42"/>
  <c r="G77" i="42"/>
  <c r="D77" i="42"/>
  <c r="G76" i="42"/>
  <c r="D76" i="42"/>
  <c r="G75" i="42"/>
  <c r="D75" i="42"/>
  <c r="G74" i="42"/>
  <c r="D74" i="42"/>
  <c r="G73" i="42"/>
  <c r="D73" i="42"/>
  <c r="G72" i="42"/>
  <c r="D72" i="42"/>
  <c r="G71" i="42"/>
  <c r="D71" i="42"/>
  <c r="G70" i="42"/>
  <c r="D70" i="42"/>
  <c r="G69" i="42"/>
  <c r="D69" i="42"/>
  <c r="G68" i="42"/>
  <c r="D68" i="42"/>
  <c r="G67" i="42"/>
  <c r="D67" i="42"/>
  <c r="G66" i="42"/>
  <c r="D66" i="42"/>
  <c r="G65" i="42"/>
  <c r="D65" i="42"/>
  <c r="G64" i="42"/>
  <c r="D64" i="42"/>
  <c r="G63" i="42"/>
  <c r="D63" i="42"/>
  <c r="G62" i="42"/>
  <c r="D62" i="42"/>
  <c r="G61" i="42"/>
  <c r="D61" i="42"/>
  <c r="G60" i="42"/>
  <c r="D60" i="42"/>
  <c r="G59" i="42"/>
  <c r="D59" i="42"/>
  <c r="G58" i="42"/>
  <c r="D58" i="42"/>
  <c r="G57" i="42"/>
  <c r="D57" i="42"/>
  <c r="G56" i="42"/>
  <c r="D56" i="42"/>
  <c r="G55" i="42"/>
  <c r="D55" i="42"/>
  <c r="G54" i="42"/>
  <c r="D54" i="42"/>
  <c r="G53" i="42"/>
  <c r="D53" i="42"/>
  <c r="G52" i="42"/>
  <c r="D52" i="42"/>
  <c r="G51" i="42"/>
  <c r="D51" i="42"/>
  <c r="G50" i="42"/>
  <c r="D50" i="42"/>
  <c r="G49" i="42"/>
  <c r="D49" i="42"/>
  <c r="G48" i="42"/>
  <c r="D48" i="42"/>
  <c r="G47" i="42"/>
  <c r="D47" i="42"/>
  <c r="G46" i="42"/>
  <c r="D46" i="42"/>
  <c r="G45" i="42"/>
  <c r="D45" i="42"/>
  <c r="G44" i="42"/>
  <c r="D44" i="42"/>
  <c r="G43" i="42"/>
  <c r="D43" i="42"/>
  <c r="G42" i="42"/>
  <c r="D42" i="42"/>
  <c r="G41" i="42"/>
  <c r="D41" i="42"/>
  <c r="G40" i="42"/>
  <c r="D40" i="42"/>
  <c r="G39" i="42"/>
  <c r="D39" i="42"/>
  <c r="G38" i="42"/>
  <c r="D38" i="42"/>
  <c r="G37" i="42"/>
  <c r="D37" i="42"/>
  <c r="G36" i="42"/>
  <c r="D36" i="42"/>
  <c r="G35" i="42"/>
  <c r="D35" i="42"/>
  <c r="G34" i="42"/>
  <c r="D34" i="42"/>
  <c r="G33" i="42"/>
  <c r="D33" i="42"/>
  <c r="G32" i="42"/>
  <c r="D32" i="42"/>
  <c r="G31" i="42"/>
  <c r="D31" i="42"/>
  <c r="G30" i="42"/>
  <c r="D30" i="42"/>
  <c r="G29" i="42"/>
  <c r="D29" i="42"/>
  <c r="G28" i="42"/>
  <c r="D28" i="42"/>
  <c r="G27" i="42"/>
  <c r="D27" i="42"/>
  <c r="G26" i="42"/>
  <c r="D26" i="42"/>
  <c r="G25" i="42"/>
  <c r="D25" i="42"/>
  <c r="G24" i="42"/>
  <c r="D24" i="42"/>
  <c r="G23" i="42"/>
  <c r="D23" i="42"/>
  <c r="G22" i="42"/>
  <c r="D22" i="42"/>
  <c r="G21" i="42"/>
  <c r="D21" i="42"/>
  <c r="G20" i="42"/>
  <c r="D20" i="42"/>
  <c r="G19" i="42"/>
  <c r="D19" i="42"/>
  <c r="G18" i="42"/>
  <c r="D18" i="42"/>
  <c r="G17" i="42"/>
  <c r="D17" i="42"/>
  <c r="G16" i="42"/>
  <c r="D16" i="42"/>
  <c r="G15" i="42"/>
  <c r="D15" i="42"/>
  <c r="G14" i="42"/>
  <c r="D14" i="42"/>
  <c r="G13" i="42"/>
  <c r="D13" i="42"/>
  <c r="G12" i="42"/>
  <c r="D12" i="42"/>
  <c r="D11" i="42"/>
  <c r="C2" i="42" l="1"/>
  <c r="C3" i="42"/>
  <c r="C4" i="42" l="1"/>
  <c r="E230" i="42" l="1"/>
  <c r="K230" i="42" s="1"/>
  <c r="E224" i="42"/>
  <c r="I224" i="42" s="1"/>
  <c r="E218" i="42"/>
  <c r="J218" i="42" s="1"/>
  <c r="E212" i="42"/>
  <c r="K212" i="42" s="1"/>
  <c r="E206" i="42"/>
  <c r="K206" i="42" s="1"/>
  <c r="E200" i="42"/>
  <c r="K200" i="42" s="1"/>
  <c r="E194" i="42"/>
  <c r="E188" i="42"/>
  <c r="J188" i="42" s="1"/>
  <c r="E182" i="42"/>
  <c r="I182" i="42" s="1"/>
  <c r="E176" i="42"/>
  <c r="I176" i="42" s="1"/>
  <c r="E170" i="42"/>
  <c r="K170" i="42" s="1"/>
  <c r="E164" i="42"/>
  <c r="I164" i="42" s="1"/>
  <c r="E158" i="42"/>
  <c r="K158" i="42" s="1"/>
  <c r="E152" i="42"/>
  <c r="K152" i="42" s="1"/>
  <c r="E146" i="42"/>
  <c r="E140" i="42"/>
  <c r="K140" i="42" s="1"/>
  <c r="E134" i="42"/>
  <c r="E233" i="42"/>
  <c r="E227" i="42"/>
  <c r="I227" i="42" s="1"/>
  <c r="E221" i="42"/>
  <c r="K221" i="42" s="1"/>
  <c r="E215" i="42"/>
  <c r="K215" i="42" s="1"/>
  <c r="E209" i="42"/>
  <c r="K209" i="42" s="1"/>
  <c r="E203" i="42"/>
  <c r="J203" i="42" s="1"/>
  <c r="E197" i="42"/>
  <c r="I197" i="42" s="1"/>
  <c r="E191" i="42"/>
  <c r="K191" i="42" s="1"/>
  <c r="E185" i="42"/>
  <c r="K185" i="42" s="1"/>
  <c r="E179" i="42"/>
  <c r="I179" i="42" s="1"/>
  <c r="E173" i="42"/>
  <c r="I173" i="42" s="1"/>
  <c r="E167" i="42"/>
  <c r="K167" i="42" s="1"/>
  <c r="E161" i="42"/>
  <c r="E155" i="42"/>
  <c r="K155" i="42" s="1"/>
  <c r="E149" i="42"/>
  <c r="K149" i="42" s="1"/>
  <c r="E143" i="42"/>
  <c r="E137" i="42"/>
  <c r="E234" i="42"/>
  <c r="J234" i="42" s="1"/>
  <c r="E228" i="42"/>
  <c r="K228" i="42" s="1"/>
  <c r="E222" i="42"/>
  <c r="K222" i="42" s="1"/>
  <c r="E216" i="42"/>
  <c r="E210" i="42"/>
  <c r="K210" i="42" s="1"/>
  <c r="E204" i="42"/>
  <c r="J204" i="42" s="1"/>
  <c r="E198" i="42"/>
  <c r="K198" i="42" s="1"/>
  <c r="E192" i="42"/>
  <c r="I192" i="42" s="1"/>
  <c r="E186" i="42"/>
  <c r="E180" i="42"/>
  <c r="E174" i="42"/>
  <c r="J174" i="42" s="1"/>
  <c r="E168" i="42"/>
  <c r="J168" i="42" s="1"/>
  <c r="E162" i="42"/>
  <c r="E156" i="42"/>
  <c r="I156" i="42" s="1"/>
  <c r="E150" i="42"/>
  <c r="K150" i="42" s="1"/>
  <c r="E138" i="42"/>
  <c r="K138" i="42" s="1"/>
  <c r="E131" i="42"/>
  <c r="K131" i="42" s="1"/>
  <c r="E125" i="42"/>
  <c r="E119" i="42"/>
  <c r="E113" i="42"/>
  <c r="E107" i="42"/>
  <c r="K107" i="42" s="1"/>
  <c r="E101" i="42"/>
  <c r="K101" i="42" s="1"/>
  <c r="E95" i="42"/>
  <c r="K95" i="42" s="1"/>
  <c r="E144" i="42"/>
  <c r="E135" i="42"/>
  <c r="K135" i="42" s="1"/>
  <c r="E141" i="42"/>
  <c r="K141" i="42" s="1"/>
  <c r="E132" i="42"/>
  <c r="I132" i="42" s="1"/>
  <c r="E126" i="42"/>
  <c r="E120" i="42"/>
  <c r="K120" i="42" s="1"/>
  <c r="E114" i="42"/>
  <c r="J114" i="42" s="1"/>
  <c r="E108" i="42"/>
  <c r="K108" i="42" s="1"/>
  <c r="E102" i="42"/>
  <c r="K102" i="42" s="1"/>
  <c r="E96" i="42"/>
  <c r="E90" i="42"/>
  <c r="K90" i="42" s="1"/>
  <c r="E84" i="42"/>
  <c r="K84" i="42" s="1"/>
  <c r="E78" i="42"/>
  <c r="K78" i="42" s="1"/>
  <c r="E72" i="42"/>
  <c r="J72" i="42" s="1"/>
  <c r="E66" i="42"/>
  <c r="K66" i="42" s="1"/>
  <c r="E231" i="42"/>
  <c r="K231" i="42" s="1"/>
  <c r="E229" i="42"/>
  <c r="E225" i="42"/>
  <c r="K225" i="42" s="1"/>
  <c r="E223" i="42"/>
  <c r="K223" i="42" s="1"/>
  <c r="E219" i="42"/>
  <c r="K219" i="42" s="1"/>
  <c r="E217" i="42"/>
  <c r="E213" i="42"/>
  <c r="I213" i="42" s="1"/>
  <c r="E211" i="42"/>
  <c r="I211" i="42" s="1"/>
  <c r="E207" i="42"/>
  <c r="K207" i="42" s="1"/>
  <c r="E205" i="42"/>
  <c r="J205" i="42" s="1"/>
  <c r="E201" i="42"/>
  <c r="K201" i="42" s="1"/>
  <c r="E199" i="42"/>
  <c r="K199" i="42" s="1"/>
  <c r="E195" i="42"/>
  <c r="K195" i="42" s="1"/>
  <c r="E193" i="42"/>
  <c r="K193" i="42" s="1"/>
  <c r="E189" i="42"/>
  <c r="E187" i="42"/>
  <c r="I187" i="42" s="1"/>
  <c r="E183" i="42"/>
  <c r="J183" i="42" s="1"/>
  <c r="E181" i="42"/>
  <c r="E177" i="42"/>
  <c r="K177" i="42" s="1"/>
  <c r="E175" i="42"/>
  <c r="K175" i="42" s="1"/>
  <c r="E171" i="42"/>
  <c r="E169" i="42"/>
  <c r="E165" i="42"/>
  <c r="K165" i="42" s="1"/>
  <c r="E163" i="42"/>
  <c r="J163" i="42" s="1"/>
  <c r="E159" i="42"/>
  <c r="K159" i="42" s="1"/>
  <c r="E157" i="42"/>
  <c r="I157" i="42" s="1"/>
  <c r="E153" i="42"/>
  <c r="E151" i="42"/>
  <c r="I151" i="42" s="1"/>
  <c r="E147" i="42"/>
  <c r="I147" i="42" s="1"/>
  <c r="E133" i="42"/>
  <c r="K133" i="42" s="1"/>
  <c r="E127" i="42"/>
  <c r="K127" i="42" s="1"/>
  <c r="E121" i="42"/>
  <c r="K121" i="42" s="1"/>
  <c r="E115" i="42"/>
  <c r="E109" i="42"/>
  <c r="K109" i="42" s="1"/>
  <c r="E103" i="42"/>
  <c r="K103" i="42" s="1"/>
  <c r="E97" i="42"/>
  <c r="J97" i="42" s="1"/>
  <c r="E139" i="42"/>
  <c r="E136" i="42"/>
  <c r="K136" i="42" s="1"/>
  <c r="E145" i="42"/>
  <c r="E142" i="42"/>
  <c r="I142" i="42" s="1"/>
  <c r="E128" i="42"/>
  <c r="K128" i="42" s="1"/>
  <c r="E122" i="42"/>
  <c r="I122" i="42" s="1"/>
  <c r="E116" i="42"/>
  <c r="I116" i="42" s="1"/>
  <c r="E110" i="42"/>
  <c r="E226" i="42"/>
  <c r="K226" i="42" s="1"/>
  <c r="E220" i="42"/>
  <c r="K220" i="42" s="1"/>
  <c r="E214" i="42"/>
  <c r="K214" i="42" s="1"/>
  <c r="E208" i="42"/>
  <c r="I208" i="42" s="1"/>
  <c r="E202" i="42"/>
  <c r="K202" i="42" s="1"/>
  <c r="E196" i="42"/>
  <c r="J196" i="42" s="1"/>
  <c r="E190" i="42"/>
  <c r="I190" i="42" s="1"/>
  <c r="E184" i="42"/>
  <c r="K184" i="42" s="1"/>
  <c r="E178" i="42"/>
  <c r="I178" i="42" s="1"/>
  <c r="E172" i="42"/>
  <c r="E166" i="42"/>
  <c r="I166" i="42" s="1"/>
  <c r="E160" i="42"/>
  <c r="J160" i="42" s="1"/>
  <c r="E154" i="42"/>
  <c r="I154" i="42" s="1"/>
  <c r="E148" i="42"/>
  <c r="K148" i="42" s="1"/>
  <c r="E129" i="42"/>
  <c r="J129" i="42" s="1"/>
  <c r="E123" i="42"/>
  <c r="K123" i="42" s="1"/>
  <c r="E117" i="42"/>
  <c r="I117" i="42" s="1"/>
  <c r="E111" i="42"/>
  <c r="J111" i="42" s="1"/>
  <c r="E105" i="42"/>
  <c r="J105" i="42" s="1"/>
  <c r="E99" i="42"/>
  <c r="K99" i="42" s="1"/>
  <c r="E93" i="42"/>
  <c r="K93" i="42" s="1"/>
  <c r="E87" i="42"/>
  <c r="K87" i="42" s="1"/>
  <c r="E81" i="42"/>
  <c r="K81" i="42" s="1"/>
  <c r="E75" i="42"/>
  <c r="I75" i="42" s="1"/>
  <c r="E232" i="42"/>
  <c r="E85" i="42"/>
  <c r="K85" i="42" s="1"/>
  <c r="E56" i="42"/>
  <c r="K56" i="42" s="1"/>
  <c r="E50" i="42"/>
  <c r="E44" i="42"/>
  <c r="E38" i="42"/>
  <c r="E32" i="42"/>
  <c r="K32" i="42" s="1"/>
  <c r="E26" i="42"/>
  <c r="K26" i="42" s="1"/>
  <c r="E20" i="42"/>
  <c r="J20" i="42" s="1"/>
  <c r="E14" i="42"/>
  <c r="C6" i="42"/>
  <c r="E100" i="42"/>
  <c r="K100" i="42" s="1"/>
  <c r="E91" i="42"/>
  <c r="K91" i="42" s="1"/>
  <c r="E89" i="42"/>
  <c r="I89" i="42" s="1"/>
  <c r="E83" i="42"/>
  <c r="K83" i="42" s="1"/>
  <c r="E62" i="42"/>
  <c r="I62" i="42" s="1"/>
  <c r="E73" i="42"/>
  <c r="I73" i="42" s="1"/>
  <c r="E57" i="42"/>
  <c r="K57" i="42" s="1"/>
  <c r="E51" i="42"/>
  <c r="K51" i="42" s="1"/>
  <c r="E45" i="42"/>
  <c r="K45" i="42" s="1"/>
  <c r="E39" i="42"/>
  <c r="J39" i="42" s="1"/>
  <c r="E33" i="42"/>
  <c r="K33" i="42" s="1"/>
  <c r="E27" i="42"/>
  <c r="J27" i="42" s="1"/>
  <c r="E21" i="42"/>
  <c r="K21" i="42" s="1"/>
  <c r="E15" i="42"/>
  <c r="I15" i="42" s="1"/>
  <c r="C7" i="42"/>
  <c r="E106" i="42"/>
  <c r="J106" i="42" s="1"/>
  <c r="E70" i="42"/>
  <c r="J70" i="42" s="1"/>
  <c r="E67" i="42"/>
  <c r="J67" i="42" s="1"/>
  <c r="E118" i="42"/>
  <c r="E76" i="42"/>
  <c r="K76" i="42" s="1"/>
  <c r="E63" i="42"/>
  <c r="K63" i="42" s="1"/>
  <c r="E58" i="42"/>
  <c r="J58" i="42" s="1"/>
  <c r="E52" i="42"/>
  <c r="J52" i="42" s="1"/>
  <c r="E46" i="42"/>
  <c r="K46" i="42" s="1"/>
  <c r="E40" i="42"/>
  <c r="E34" i="42"/>
  <c r="K34" i="42" s="1"/>
  <c r="E28" i="42"/>
  <c r="E22" i="42"/>
  <c r="J22" i="42" s="1"/>
  <c r="E16" i="42"/>
  <c r="K16" i="42" s="1"/>
  <c r="E130" i="42"/>
  <c r="K130" i="42" s="1"/>
  <c r="E79" i="42"/>
  <c r="K79" i="42" s="1"/>
  <c r="E59" i="42"/>
  <c r="K59" i="42" s="1"/>
  <c r="E53" i="42"/>
  <c r="J53" i="42" s="1"/>
  <c r="E47" i="42"/>
  <c r="K47" i="42" s="1"/>
  <c r="E41" i="42"/>
  <c r="I41" i="42" s="1"/>
  <c r="E35" i="42"/>
  <c r="K35" i="42" s="1"/>
  <c r="E29" i="42"/>
  <c r="K29" i="42" s="1"/>
  <c r="E23" i="42"/>
  <c r="K23" i="42" s="1"/>
  <c r="E17" i="42"/>
  <c r="I17" i="42" s="1"/>
  <c r="E11" i="42"/>
  <c r="K11" i="42" s="1"/>
  <c r="E88" i="42"/>
  <c r="I88" i="42" s="1"/>
  <c r="E86" i="42"/>
  <c r="J86" i="42" s="1"/>
  <c r="E74" i="42"/>
  <c r="K74" i="42" s="1"/>
  <c r="E71" i="42"/>
  <c r="I71" i="42" s="1"/>
  <c r="E68" i="42"/>
  <c r="K68" i="42" s="1"/>
  <c r="E64" i="42"/>
  <c r="K64" i="42" s="1"/>
  <c r="E98" i="42"/>
  <c r="K98" i="42" s="1"/>
  <c r="E92" i="42"/>
  <c r="K92" i="42" s="1"/>
  <c r="E82" i="42"/>
  <c r="K82" i="42" s="1"/>
  <c r="E60" i="42"/>
  <c r="E54" i="42"/>
  <c r="I54" i="42" s="1"/>
  <c r="E48" i="42"/>
  <c r="I48" i="42" s="1"/>
  <c r="E42" i="42"/>
  <c r="K42" i="42" s="1"/>
  <c r="E36" i="42"/>
  <c r="K36" i="42" s="1"/>
  <c r="E30" i="42"/>
  <c r="K30" i="42" s="1"/>
  <c r="E24" i="42"/>
  <c r="K24" i="42" s="1"/>
  <c r="E18" i="42"/>
  <c r="J18" i="42" s="1"/>
  <c r="E12" i="42"/>
  <c r="E112" i="42"/>
  <c r="E77" i="42"/>
  <c r="I77" i="42" s="1"/>
  <c r="E13" i="42"/>
  <c r="J13" i="42" s="1"/>
  <c r="E104" i="42"/>
  <c r="K104" i="42" s="1"/>
  <c r="E65" i="42"/>
  <c r="K65" i="42" s="1"/>
  <c r="E61" i="42"/>
  <c r="J61" i="42" s="1"/>
  <c r="E55" i="42"/>
  <c r="J55" i="42" s="1"/>
  <c r="E49" i="42"/>
  <c r="J49" i="42" s="1"/>
  <c r="E43" i="42"/>
  <c r="J43" i="42" s="1"/>
  <c r="E37" i="42"/>
  <c r="K37" i="42" s="1"/>
  <c r="E31" i="42"/>
  <c r="K31" i="42" s="1"/>
  <c r="E25" i="42"/>
  <c r="J25" i="42" s="1"/>
  <c r="E19" i="42"/>
  <c r="E124" i="42"/>
  <c r="E94" i="42"/>
  <c r="I94" i="42" s="1"/>
  <c r="E80" i="42"/>
  <c r="K80" i="42" s="1"/>
  <c r="E69" i="42"/>
  <c r="J69" i="42" s="1"/>
  <c r="J162" i="42" l="1"/>
  <c r="I232" i="42"/>
  <c r="I115" i="42"/>
  <c r="I171" i="42"/>
  <c r="I143" i="42"/>
  <c r="I181" i="42"/>
  <c r="I194" i="42"/>
  <c r="I233" i="42"/>
  <c r="I229" i="42"/>
  <c r="I216" i="42"/>
  <c r="J19" i="42"/>
  <c r="I14" i="42"/>
  <c r="J14" i="42"/>
  <c r="J217" i="42"/>
  <c r="J119" i="42"/>
  <c r="J134" i="42"/>
  <c r="J125" i="42"/>
  <c r="J186" i="42"/>
  <c r="J145" i="42"/>
  <c r="J146" i="42"/>
  <c r="J126" i="42"/>
  <c r="J44" i="42"/>
  <c r="C8" i="42"/>
  <c r="C9" i="42" s="1"/>
  <c r="L68" i="42"/>
  <c r="J68" i="42"/>
  <c r="I68" i="42"/>
  <c r="L123" i="42"/>
  <c r="J123" i="42"/>
  <c r="I123" i="42"/>
  <c r="L97" i="42"/>
  <c r="K97" i="42"/>
  <c r="I97" i="42"/>
  <c r="L66" i="42"/>
  <c r="J66" i="42"/>
  <c r="I66" i="42"/>
  <c r="L197" i="42"/>
  <c r="J197" i="42"/>
  <c r="K197" i="42"/>
  <c r="L37" i="42"/>
  <c r="J37" i="42"/>
  <c r="I37" i="42"/>
  <c r="I61" i="42"/>
  <c r="L61" i="42"/>
  <c r="K61" i="42"/>
  <c r="K70" i="42"/>
  <c r="I70" i="42"/>
  <c r="L70" i="42"/>
  <c r="K208" i="42"/>
  <c r="J208" i="42"/>
  <c r="L208" i="42"/>
  <c r="L163" i="42"/>
  <c r="K163" i="42"/>
  <c r="I163" i="42"/>
  <c r="L199" i="42"/>
  <c r="I199" i="42"/>
  <c r="J199" i="42"/>
  <c r="I141" i="42"/>
  <c r="J141" i="42"/>
  <c r="L141" i="42"/>
  <c r="L156" i="42"/>
  <c r="J156" i="42"/>
  <c r="K156" i="42"/>
  <c r="L228" i="42"/>
  <c r="J228" i="42"/>
  <c r="I228" i="42"/>
  <c r="K164" i="42"/>
  <c r="L164" i="42"/>
  <c r="J164" i="42"/>
  <c r="L69" i="42"/>
  <c r="K69" i="42"/>
  <c r="I69" i="42"/>
  <c r="L65" i="42"/>
  <c r="J65" i="42"/>
  <c r="I65" i="42"/>
  <c r="L48" i="42"/>
  <c r="K48" i="42"/>
  <c r="J48" i="42"/>
  <c r="L11" i="42"/>
  <c r="J11" i="42"/>
  <c r="I11" i="42"/>
  <c r="K22" i="42"/>
  <c r="I22" i="42"/>
  <c r="L22" i="42"/>
  <c r="L106" i="42"/>
  <c r="I106" i="42"/>
  <c r="K106" i="42"/>
  <c r="L83" i="42"/>
  <c r="J83" i="42"/>
  <c r="I83" i="42"/>
  <c r="L56" i="42"/>
  <c r="J56" i="42"/>
  <c r="I56" i="42"/>
  <c r="L129" i="42"/>
  <c r="K129" i="42"/>
  <c r="I129" i="42"/>
  <c r="J214" i="42"/>
  <c r="L214" i="42"/>
  <c r="I214" i="42"/>
  <c r="L103" i="42"/>
  <c r="J103" i="42"/>
  <c r="I103" i="42"/>
  <c r="I165" i="42"/>
  <c r="L165" i="42"/>
  <c r="J165" i="42"/>
  <c r="I201" i="42"/>
  <c r="L201" i="42"/>
  <c r="J201" i="42"/>
  <c r="L72" i="42"/>
  <c r="K72" i="42"/>
  <c r="I72" i="42"/>
  <c r="I135" i="42"/>
  <c r="J135" i="42"/>
  <c r="L135" i="42"/>
  <c r="L162" i="42"/>
  <c r="I162" i="42"/>
  <c r="K162" i="42"/>
  <c r="L234" i="42"/>
  <c r="K234" i="42"/>
  <c r="I234" i="42"/>
  <c r="L203" i="42"/>
  <c r="K203" i="42"/>
  <c r="I203" i="42"/>
  <c r="L170" i="42"/>
  <c r="J170" i="42"/>
  <c r="I170" i="42"/>
  <c r="L85" i="42"/>
  <c r="J85" i="42"/>
  <c r="I85" i="42"/>
  <c r="L205" i="42"/>
  <c r="K205" i="42"/>
  <c r="I205" i="42"/>
  <c r="I78" i="42"/>
  <c r="L78" i="42"/>
  <c r="J78" i="42"/>
  <c r="I144" i="42"/>
  <c r="K144" i="42"/>
  <c r="L144" i="42"/>
  <c r="L168" i="42"/>
  <c r="I168" i="42"/>
  <c r="K168" i="42"/>
  <c r="L137" i="42"/>
  <c r="K137" i="42"/>
  <c r="I137" i="42"/>
  <c r="L209" i="42"/>
  <c r="J209" i="42"/>
  <c r="I209" i="42"/>
  <c r="K176" i="42"/>
  <c r="L176" i="42"/>
  <c r="J176" i="42"/>
  <c r="L104" i="42"/>
  <c r="J104" i="42"/>
  <c r="I104" i="42"/>
  <c r="K232" i="42"/>
  <c r="J232" i="42"/>
  <c r="L232" i="42"/>
  <c r="J84" i="42"/>
  <c r="L84" i="42"/>
  <c r="I84" i="42"/>
  <c r="L95" i="42"/>
  <c r="J95" i="42"/>
  <c r="I95" i="42"/>
  <c r="L174" i="42"/>
  <c r="I174" i="42"/>
  <c r="K174" i="42"/>
  <c r="L143" i="42"/>
  <c r="K143" i="42"/>
  <c r="J143" i="42"/>
  <c r="L215" i="42"/>
  <c r="J215" i="42"/>
  <c r="I215" i="42"/>
  <c r="K182" i="42"/>
  <c r="L182" i="42"/>
  <c r="J182" i="42"/>
  <c r="L18" i="42"/>
  <c r="K18" i="42"/>
  <c r="I18" i="42"/>
  <c r="J16" i="42"/>
  <c r="I16" i="42"/>
  <c r="L16" i="42"/>
  <c r="L54" i="42"/>
  <c r="K54" i="42"/>
  <c r="J54" i="42"/>
  <c r="L89" i="42"/>
  <c r="K89" i="42"/>
  <c r="J89" i="42"/>
  <c r="L169" i="42"/>
  <c r="K169" i="42"/>
  <c r="I169" i="42"/>
  <c r="L23" i="42"/>
  <c r="J23" i="42"/>
  <c r="I23" i="42"/>
  <c r="I21" i="42"/>
  <c r="L21" i="42"/>
  <c r="J21" i="42"/>
  <c r="L75" i="42"/>
  <c r="K75" i="42"/>
  <c r="J75" i="42"/>
  <c r="K160" i="42"/>
  <c r="L160" i="42"/>
  <c r="I160" i="42"/>
  <c r="L110" i="42"/>
  <c r="K110" i="42"/>
  <c r="I110" i="42"/>
  <c r="L121" i="42"/>
  <c r="J121" i="42"/>
  <c r="I121" i="42"/>
  <c r="L175" i="42"/>
  <c r="I175" i="42"/>
  <c r="J175" i="42"/>
  <c r="L211" i="42"/>
  <c r="K211" i="42"/>
  <c r="J211" i="42"/>
  <c r="J90" i="42"/>
  <c r="L90" i="42"/>
  <c r="I90" i="42"/>
  <c r="L101" i="42"/>
  <c r="J101" i="42"/>
  <c r="I101" i="42"/>
  <c r="L180" i="42"/>
  <c r="I180" i="42"/>
  <c r="K180" i="42"/>
  <c r="L149" i="42"/>
  <c r="J149" i="42"/>
  <c r="I149" i="42"/>
  <c r="L221" i="42"/>
  <c r="J221" i="42"/>
  <c r="I221" i="42"/>
  <c r="K188" i="42"/>
  <c r="L188" i="42"/>
  <c r="I188" i="42"/>
  <c r="J63" i="42"/>
  <c r="I63" i="42"/>
  <c r="L63" i="42"/>
  <c r="J88" i="42"/>
  <c r="L88" i="42"/>
  <c r="K88" i="42"/>
  <c r="K62" i="42"/>
  <c r="L62" i="42"/>
  <c r="J62" i="42"/>
  <c r="J220" i="42"/>
  <c r="L220" i="42"/>
  <c r="I220" i="42"/>
  <c r="K13" i="42"/>
  <c r="L13" i="42"/>
  <c r="I13" i="42"/>
  <c r="L91" i="42"/>
  <c r="J91" i="42"/>
  <c r="I91" i="42"/>
  <c r="K154" i="42"/>
  <c r="J154" i="42"/>
  <c r="L154" i="42"/>
  <c r="L171" i="42"/>
  <c r="K171" i="42"/>
  <c r="J171" i="42"/>
  <c r="J82" i="42"/>
  <c r="I82" i="42"/>
  <c r="L82" i="42"/>
  <c r="L100" i="42"/>
  <c r="J100" i="42"/>
  <c r="I100" i="42"/>
  <c r="L19" i="42"/>
  <c r="K19" i="42"/>
  <c r="I19" i="42"/>
  <c r="L77" i="42"/>
  <c r="K77" i="42"/>
  <c r="J77" i="42"/>
  <c r="L92" i="42"/>
  <c r="J92" i="42"/>
  <c r="I92" i="42"/>
  <c r="L35" i="42"/>
  <c r="J35" i="42"/>
  <c r="I35" i="42"/>
  <c r="J46" i="42"/>
  <c r="I46" i="42"/>
  <c r="L46" i="42"/>
  <c r="I27" i="42"/>
  <c r="L27" i="42"/>
  <c r="K27" i="42"/>
  <c r="J81" i="42"/>
  <c r="I81" i="42"/>
  <c r="L81" i="42"/>
  <c r="K166" i="42"/>
  <c r="J166" i="42"/>
  <c r="L166" i="42"/>
  <c r="L116" i="42"/>
  <c r="K116" i="42"/>
  <c r="J116" i="42"/>
  <c r="L127" i="42"/>
  <c r="J127" i="42"/>
  <c r="I127" i="42"/>
  <c r="I177" i="42"/>
  <c r="L177" i="42"/>
  <c r="J177" i="42"/>
  <c r="L213" i="42"/>
  <c r="K213" i="42"/>
  <c r="J213" i="42"/>
  <c r="I96" i="42"/>
  <c r="L96" i="42"/>
  <c r="K96" i="42"/>
  <c r="L107" i="42"/>
  <c r="J107" i="42"/>
  <c r="I107" i="42"/>
  <c r="L186" i="42"/>
  <c r="I186" i="42"/>
  <c r="K186" i="42"/>
  <c r="L155" i="42"/>
  <c r="J155" i="42"/>
  <c r="I155" i="42"/>
  <c r="L227" i="42"/>
  <c r="J227" i="42"/>
  <c r="K227" i="42"/>
  <c r="K194" i="42"/>
  <c r="L194" i="42"/>
  <c r="J194" i="42"/>
  <c r="L42" i="42"/>
  <c r="J42" i="42"/>
  <c r="I42" i="42"/>
  <c r="L80" i="42"/>
  <c r="J80" i="42"/>
  <c r="I80" i="42"/>
  <c r="L17" i="42"/>
  <c r="K17" i="42"/>
  <c r="J17" i="42"/>
  <c r="J148" i="42"/>
  <c r="L148" i="42"/>
  <c r="I148" i="42"/>
  <c r="L94" i="42"/>
  <c r="J94" i="42"/>
  <c r="K94" i="42"/>
  <c r="J34" i="42"/>
  <c r="I34" i="42"/>
  <c r="L34" i="42"/>
  <c r="I207" i="42"/>
  <c r="L207" i="42"/>
  <c r="J207" i="42"/>
  <c r="K40" i="42"/>
  <c r="I40" i="42"/>
  <c r="L40" i="42"/>
  <c r="L25" i="42"/>
  <c r="K25" i="42"/>
  <c r="I25" i="42"/>
  <c r="L112" i="42"/>
  <c r="K112" i="42"/>
  <c r="I112" i="42"/>
  <c r="L98" i="42"/>
  <c r="J98" i="42"/>
  <c r="I98" i="42"/>
  <c r="L41" i="42"/>
  <c r="K41" i="42"/>
  <c r="J41" i="42"/>
  <c r="K52" i="42"/>
  <c r="I52" i="42"/>
  <c r="L52" i="42"/>
  <c r="I33" i="42"/>
  <c r="L33" i="42"/>
  <c r="J33" i="42"/>
  <c r="L14" i="42"/>
  <c r="K14" i="42"/>
  <c r="L87" i="42"/>
  <c r="I87" i="42"/>
  <c r="J87" i="42"/>
  <c r="K172" i="42"/>
  <c r="L172" i="42"/>
  <c r="I172" i="42"/>
  <c r="L122" i="42"/>
  <c r="K122" i="42"/>
  <c r="J122" i="42"/>
  <c r="L133" i="42"/>
  <c r="J133" i="42"/>
  <c r="I133" i="42"/>
  <c r="L181" i="42"/>
  <c r="K181" i="42"/>
  <c r="J181" i="42"/>
  <c r="L217" i="42"/>
  <c r="K217" i="42"/>
  <c r="I217" i="42"/>
  <c r="J102" i="42"/>
  <c r="I102" i="42"/>
  <c r="L102" i="42"/>
  <c r="L113" i="42"/>
  <c r="K113" i="42"/>
  <c r="I113" i="42"/>
  <c r="L192" i="42"/>
  <c r="J192" i="42"/>
  <c r="K192" i="42"/>
  <c r="L161" i="42"/>
  <c r="K161" i="42"/>
  <c r="I161" i="42"/>
  <c r="L233" i="42"/>
  <c r="J233" i="42"/>
  <c r="K233" i="42"/>
  <c r="L200" i="42"/>
  <c r="J200" i="42"/>
  <c r="I200" i="42"/>
  <c r="L53" i="42"/>
  <c r="K53" i="42"/>
  <c r="I53" i="42"/>
  <c r="L50" i="42"/>
  <c r="K50" i="42"/>
  <c r="I50" i="42"/>
  <c r="K28" i="42"/>
  <c r="I28" i="42"/>
  <c r="L28" i="42"/>
  <c r="L109" i="42"/>
  <c r="J109" i="42"/>
  <c r="I109" i="42"/>
  <c r="L60" i="42"/>
  <c r="K60" i="42"/>
  <c r="I60" i="42"/>
  <c r="L15" i="42"/>
  <c r="K15" i="42"/>
  <c r="J15" i="42"/>
  <c r="J226" i="42"/>
  <c r="L226" i="42"/>
  <c r="I226" i="42"/>
  <c r="L115" i="42"/>
  <c r="K115" i="42"/>
  <c r="J115" i="42"/>
  <c r="L124" i="42"/>
  <c r="K124" i="42"/>
  <c r="I124" i="42"/>
  <c r="L29" i="42"/>
  <c r="J29" i="42"/>
  <c r="I29" i="42"/>
  <c r="L31" i="42"/>
  <c r="J31" i="42"/>
  <c r="I31" i="42"/>
  <c r="L12" i="42"/>
  <c r="K12" i="42"/>
  <c r="I12" i="42"/>
  <c r="L64" i="42"/>
  <c r="J64" i="42"/>
  <c r="I64" i="42"/>
  <c r="L47" i="42"/>
  <c r="J47" i="42"/>
  <c r="I47" i="42"/>
  <c r="K58" i="42"/>
  <c r="I58" i="42"/>
  <c r="L58" i="42"/>
  <c r="I39" i="42"/>
  <c r="L39" i="42"/>
  <c r="K39" i="42"/>
  <c r="L20" i="42"/>
  <c r="K20" i="42"/>
  <c r="I20" i="42"/>
  <c r="L93" i="42"/>
  <c r="J93" i="42"/>
  <c r="I93" i="42"/>
  <c r="K178" i="42"/>
  <c r="J178" i="42"/>
  <c r="L178" i="42"/>
  <c r="L128" i="42"/>
  <c r="J128" i="42"/>
  <c r="I128" i="42"/>
  <c r="L147" i="42"/>
  <c r="K147" i="42"/>
  <c r="J147" i="42"/>
  <c r="I183" i="42"/>
  <c r="L183" i="42"/>
  <c r="K183" i="42"/>
  <c r="I219" i="42"/>
  <c r="L219" i="42"/>
  <c r="J219" i="42"/>
  <c r="J108" i="42"/>
  <c r="I108" i="42"/>
  <c r="L108" i="42"/>
  <c r="L119" i="42"/>
  <c r="K119" i="42"/>
  <c r="I119" i="42"/>
  <c r="L198" i="42"/>
  <c r="J198" i="42"/>
  <c r="I198" i="42"/>
  <c r="L167" i="42"/>
  <c r="J167" i="42"/>
  <c r="I167" i="42"/>
  <c r="L134" i="42"/>
  <c r="K134" i="42"/>
  <c r="I134" i="42"/>
  <c r="L206" i="42"/>
  <c r="J206" i="42"/>
  <c r="I206" i="42"/>
  <c r="L99" i="42"/>
  <c r="J99" i="42"/>
  <c r="I99" i="42"/>
  <c r="K142" i="42"/>
  <c r="L142" i="42"/>
  <c r="J142" i="42"/>
  <c r="L187" i="42"/>
  <c r="K187" i="42"/>
  <c r="J187" i="42"/>
  <c r="L223" i="42"/>
  <c r="I223" i="42"/>
  <c r="J223" i="42"/>
  <c r="I114" i="42"/>
  <c r="L114" i="42"/>
  <c r="K114" i="42"/>
  <c r="L125" i="42"/>
  <c r="K125" i="42"/>
  <c r="I125" i="42"/>
  <c r="L204" i="42"/>
  <c r="I204" i="42"/>
  <c r="K204" i="42"/>
  <c r="L173" i="42"/>
  <c r="J173" i="42"/>
  <c r="K173" i="42"/>
  <c r="L140" i="42"/>
  <c r="J140" i="42"/>
  <c r="I140" i="42"/>
  <c r="L212" i="42"/>
  <c r="J212" i="42"/>
  <c r="I212" i="42"/>
  <c r="I45" i="42"/>
  <c r="L45" i="42"/>
  <c r="J45" i="42"/>
  <c r="L26" i="42"/>
  <c r="J26" i="42"/>
  <c r="I26" i="42"/>
  <c r="J184" i="42"/>
  <c r="L184" i="42"/>
  <c r="I184" i="42"/>
  <c r="L151" i="42"/>
  <c r="K151" i="42"/>
  <c r="J151" i="42"/>
  <c r="L43" i="42"/>
  <c r="K43" i="42"/>
  <c r="I43" i="42"/>
  <c r="L24" i="42"/>
  <c r="I24" i="42"/>
  <c r="J24" i="42"/>
  <c r="L71" i="42"/>
  <c r="K71" i="42"/>
  <c r="J71" i="42"/>
  <c r="L59" i="42"/>
  <c r="J59" i="42"/>
  <c r="I59" i="42"/>
  <c r="J76" i="42"/>
  <c r="I76" i="42"/>
  <c r="L76" i="42"/>
  <c r="I51" i="42"/>
  <c r="L51" i="42"/>
  <c r="J51" i="42"/>
  <c r="L32" i="42"/>
  <c r="J32" i="42"/>
  <c r="I32" i="42"/>
  <c r="L105" i="42"/>
  <c r="K105" i="42"/>
  <c r="I105" i="42"/>
  <c r="K190" i="42"/>
  <c r="J190" i="42"/>
  <c r="L190" i="42"/>
  <c r="L145" i="42"/>
  <c r="K145" i="42"/>
  <c r="I145" i="42"/>
  <c r="I153" i="42"/>
  <c r="L153" i="42"/>
  <c r="K153" i="42"/>
  <c r="I189" i="42"/>
  <c r="L189" i="42"/>
  <c r="K189" i="42"/>
  <c r="I225" i="42"/>
  <c r="L225" i="42"/>
  <c r="J225" i="42"/>
  <c r="J120" i="42"/>
  <c r="I120" i="42"/>
  <c r="L120" i="42"/>
  <c r="L131" i="42"/>
  <c r="J131" i="42"/>
  <c r="I131" i="42"/>
  <c r="L210" i="42"/>
  <c r="J210" i="42"/>
  <c r="I210" i="42"/>
  <c r="L179" i="42"/>
  <c r="J179" i="42"/>
  <c r="K179" i="42"/>
  <c r="L146" i="42"/>
  <c r="K146" i="42"/>
  <c r="I146" i="42"/>
  <c r="K218" i="42"/>
  <c r="L218" i="42"/>
  <c r="I218" i="42"/>
  <c r="L74" i="42"/>
  <c r="J74" i="42"/>
  <c r="I74" i="42"/>
  <c r="I57" i="42"/>
  <c r="L57" i="42"/>
  <c r="J57" i="42"/>
  <c r="K196" i="42"/>
  <c r="L196" i="42"/>
  <c r="I196" i="42"/>
  <c r="L193" i="42"/>
  <c r="I193" i="42"/>
  <c r="J193" i="42"/>
  <c r="L229" i="42"/>
  <c r="K229" i="42"/>
  <c r="J229" i="42"/>
  <c r="J138" i="42"/>
  <c r="I138" i="42"/>
  <c r="L138" i="42"/>
  <c r="L216" i="42"/>
  <c r="J216" i="42"/>
  <c r="K216" i="42"/>
  <c r="L185" i="42"/>
  <c r="J185" i="42"/>
  <c r="I185" i="42"/>
  <c r="L152" i="42"/>
  <c r="J152" i="42"/>
  <c r="I152" i="42"/>
  <c r="K224" i="42"/>
  <c r="L224" i="42"/>
  <c r="J224" i="42"/>
  <c r="L49" i="42"/>
  <c r="K49" i="42"/>
  <c r="I49" i="42"/>
  <c r="L30" i="42"/>
  <c r="J30" i="42"/>
  <c r="I30" i="42"/>
  <c r="J79" i="42"/>
  <c r="I79" i="42"/>
  <c r="L79" i="42"/>
  <c r="L118" i="42"/>
  <c r="K118" i="42"/>
  <c r="I118" i="42"/>
  <c r="L38" i="42"/>
  <c r="K38" i="42"/>
  <c r="I38" i="42"/>
  <c r="L111" i="42"/>
  <c r="K111" i="42"/>
  <c r="I111" i="42"/>
  <c r="L136" i="42"/>
  <c r="J136" i="42"/>
  <c r="I136" i="42"/>
  <c r="L157" i="42"/>
  <c r="K157" i="42"/>
  <c r="J157" i="42"/>
  <c r="I126" i="42"/>
  <c r="L126" i="42"/>
  <c r="K126" i="42"/>
  <c r="L55" i="42"/>
  <c r="K55" i="42"/>
  <c r="I55" i="42"/>
  <c r="L36" i="42"/>
  <c r="J36" i="42"/>
  <c r="I36" i="42"/>
  <c r="L86" i="42"/>
  <c r="K86" i="42"/>
  <c r="I86" i="42"/>
  <c r="L130" i="42"/>
  <c r="J130" i="42"/>
  <c r="I130" i="42"/>
  <c r="I67" i="42"/>
  <c r="L67" i="42"/>
  <c r="K67" i="42"/>
  <c r="J73" i="42"/>
  <c r="K73" i="42"/>
  <c r="L73" i="42"/>
  <c r="L44" i="42"/>
  <c r="K44" i="42"/>
  <c r="I44" i="42"/>
  <c r="L117" i="42"/>
  <c r="K117" i="42"/>
  <c r="J117" i="42"/>
  <c r="J202" i="42"/>
  <c r="L202" i="42"/>
  <c r="I202" i="42"/>
  <c r="L139" i="42"/>
  <c r="K139" i="42"/>
  <c r="I139" i="42"/>
  <c r="I159" i="42"/>
  <c r="L159" i="42"/>
  <c r="J159" i="42"/>
  <c r="I195" i="42"/>
  <c r="L195" i="42"/>
  <c r="J195" i="42"/>
  <c r="I231" i="42"/>
  <c r="L231" i="42"/>
  <c r="J231" i="42"/>
  <c r="J132" i="42"/>
  <c r="L132" i="42"/>
  <c r="K132" i="42"/>
  <c r="L150" i="42"/>
  <c r="J150" i="42"/>
  <c r="I150" i="42"/>
  <c r="L222" i="42"/>
  <c r="J222" i="42"/>
  <c r="I222" i="42"/>
  <c r="L191" i="42"/>
  <c r="J191" i="42"/>
  <c r="I191" i="42"/>
  <c r="L158" i="42"/>
  <c r="J158" i="42"/>
  <c r="I158" i="42"/>
  <c r="L230" i="42"/>
  <c r="J230" i="42"/>
  <c r="I230" i="42"/>
  <c r="J50" i="42" l="1"/>
  <c r="J113" i="42"/>
  <c r="J189" i="42"/>
  <c r="J28" i="42"/>
  <c r="J161" i="42"/>
  <c r="J110" i="42"/>
  <c r="J60" i="42"/>
  <c r="M60" i="42" s="1"/>
  <c r="N60" i="42" s="1"/>
  <c r="O60" i="42" s="1"/>
  <c r="J144" i="42"/>
  <c r="M144" i="42" s="1"/>
  <c r="N144" i="42" s="1"/>
  <c r="O144" i="42" s="1"/>
  <c r="J112" i="42"/>
  <c r="M112" i="42" s="1"/>
  <c r="N112" i="42" s="1"/>
  <c r="O112" i="42" s="1"/>
  <c r="J169" i="42"/>
  <c r="M169" i="42" s="1"/>
  <c r="N169" i="42" s="1"/>
  <c r="O169" i="42" s="1"/>
  <c r="J118" i="42"/>
  <c r="M118" i="42" s="1"/>
  <c r="N118" i="42" s="1"/>
  <c r="O118" i="42" s="1"/>
  <c r="J180" i="42"/>
  <c r="M180" i="42" s="1"/>
  <c r="N180" i="42" s="1"/>
  <c r="O180" i="42" s="1"/>
  <c r="J137" i="42"/>
  <c r="J38" i="42"/>
  <c r="J96" i="42"/>
  <c r="J124" i="42"/>
  <c r="J40" i="42"/>
  <c r="M40" i="42" s="1"/>
  <c r="N40" i="42" s="1"/>
  <c r="O40" i="42" s="1"/>
  <c r="J139" i="42"/>
  <c r="J172" i="42"/>
  <c r="M172" i="42" s="1"/>
  <c r="N172" i="42" s="1"/>
  <c r="O172" i="42" s="1"/>
  <c r="J153" i="42"/>
  <c r="M153" i="42" s="1"/>
  <c r="N153" i="42" s="1"/>
  <c r="O153" i="42" s="1"/>
  <c r="J12" i="42"/>
  <c r="M12" i="42" s="1"/>
  <c r="N12" i="42" s="1"/>
  <c r="O12" i="42" s="1"/>
  <c r="M191" i="42"/>
  <c r="N191" i="42" s="1"/>
  <c r="O191" i="42" s="1"/>
  <c r="M226" i="42"/>
  <c r="N226" i="42" s="1"/>
  <c r="O226" i="42" s="1"/>
  <c r="M30" i="42"/>
  <c r="N30" i="42" s="1"/>
  <c r="O30" i="42" s="1"/>
  <c r="M218" i="42"/>
  <c r="N218" i="42" s="1"/>
  <c r="O218" i="42" s="1"/>
  <c r="M32" i="42"/>
  <c r="N32" i="42" s="1"/>
  <c r="O32" i="42" s="1"/>
  <c r="M140" i="42"/>
  <c r="N140" i="42" s="1"/>
  <c r="O140" i="42" s="1"/>
  <c r="M123" i="42"/>
  <c r="N123" i="42" s="1"/>
  <c r="O123" i="42" s="1"/>
  <c r="M194" i="42"/>
  <c r="N194" i="42" s="1"/>
  <c r="O194" i="42" s="1"/>
  <c r="M207" i="42"/>
  <c r="N207" i="42" s="1"/>
  <c r="O207" i="42" s="1"/>
  <c r="M66" i="42"/>
  <c r="N66" i="42" s="1"/>
  <c r="O66" i="42" s="1"/>
  <c r="M97" i="42"/>
  <c r="N97" i="42" s="1"/>
  <c r="O97" i="42" s="1"/>
  <c r="M47" i="42"/>
  <c r="N47" i="42" s="1"/>
  <c r="O47" i="42" s="1"/>
  <c r="M50" i="42"/>
  <c r="N50" i="42" s="1"/>
  <c r="O50" i="42" s="1"/>
  <c r="M100" i="42"/>
  <c r="N100" i="42" s="1"/>
  <c r="O100" i="42" s="1"/>
  <c r="M220" i="42"/>
  <c r="N220" i="42" s="1"/>
  <c r="O220" i="42" s="1"/>
  <c r="M56" i="42"/>
  <c r="N56" i="42" s="1"/>
  <c r="O56" i="42" s="1"/>
  <c r="M213" i="42"/>
  <c r="N213" i="42" s="1"/>
  <c r="O213" i="42" s="1"/>
  <c r="M139" i="42"/>
  <c r="N139" i="42" s="1"/>
  <c r="O139" i="42" s="1"/>
  <c r="M55" i="42"/>
  <c r="N55" i="42" s="1"/>
  <c r="O55" i="42" s="1"/>
  <c r="M136" i="42"/>
  <c r="N136" i="42" s="1"/>
  <c r="O136" i="42" s="1"/>
  <c r="M131" i="42"/>
  <c r="N131" i="42" s="1"/>
  <c r="O131" i="42" s="1"/>
  <c r="M71" i="42"/>
  <c r="N71" i="42" s="1"/>
  <c r="O71" i="42" s="1"/>
  <c r="M142" i="42"/>
  <c r="N142" i="42" s="1"/>
  <c r="O142" i="42" s="1"/>
  <c r="M178" i="42"/>
  <c r="N178" i="42" s="1"/>
  <c r="O178" i="42" s="1"/>
  <c r="M46" i="42"/>
  <c r="N46" i="42" s="1"/>
  <c r="O46" i="42" s="1"/>
  <c r="M16" i="42"/>
  <c r="N16" i="42" s="1"/>
  <c r="O16" i="42" s="1"/>
  <c r="M162" i="42"/>
  <c r="N162" i="42" s="1"/>
  <c r="O162" i="42" s="1"/>
  <c r="M214" i="42"/>
  <c r="N214" i="42" s="1"/>
  <c r="O214" i="42" s="1"/>
  <c r="M15" i="42"/>
  <c r="N15" i="42" s="1"/>
  <c r="O15" i="42" s="1"/>
  <c r="M132" i="42"/>
  <c r="N132" i="42" s="1"/>
  <c r="O132" i="42" s="1"/>
  <c r="M89" i="42"/>
  <c r="N89" i="42" s="1"/>
  <c r="O89" i="42" s="1"/>
  <c r="M156" i="42"/>
  <c r="N156" i="42" s="1"/>
  <c r="O156" i="42" s="1"/>
  <c r="M33" i="42"/>
  <c r="N33" i="42" s="1"/>
  <c r="O33" i="42" s="1"/>
  <c r="M57" i="42"/>
  <c r="N57" i="42" s="1"/>
  <c r="O57" i="42" s="1"/>
  <c r="M45" i="42"/>
  <c r="N45" i="42" s="1"/>
  <c r="O45" i="42" s="1"/>
  <c r="M39" i="42"/>
  <c r="N39" i="42" s="1"/>
  <c r="O39" i="42" s="1"/>
  <c r="M155" i="42"/>
  <c r="N155" i="42" s="1"/>
  <c r="O155" i="42" s="1"/>
  <c r="M165" i="42"/>
  <c r="N165" i="42" s="1"/>
  <c r="O165" i="42" s="1"/>
  <c r="M179" i="42"/>
  <c r="N179" i="42" s="1"/>
  <c r="O179" i="42" s="1"/>
  <c r="M167" i="42"/>
  <c r="N167" i="42" s="1"/>
  <c r="O167" i="42" s="1"/>
  <c r="M35" i="42"/>
  <c r="N35" i="42" s="1"/>
  <c r="O35" i="42" s="1"/>
  <c r="M150" i="42"/>
  <c r="N150" i="42" s="1"/>
  <c r="O150" i="42" s="1"/>
  <c r="M204" i="42"/>
  <c r="N204" i="42" s="1"/>
  <c r="O204" i="42" s="1"/>
  <c r="M124" i="42"/>
  <c r="N124" i="42" s="1"/>
  <c r="O124" i="42" s="1"/>
  <c r="M160" i="42"/>
  <c r="N160" i="42" s="1"/>
  <c r="O160" i="42" s="1"/>
  <c r="M208" i="42"/>
  <c r="N208" i="42" s="1"/>
  <c r="O208" i="42" s="1"/>
  <c r="M17" i="42"/>
  <c r="N17" i="42" s="1"/>
  <c r="O17" i="42" s="1"/>
  <c r="M117" i="42"/>
  <c r="N117" i="42" s="1"/>
  <c r="O117" i="42" s="1"/>
  <c r="M185" i="42"/>
  <c r="N185" i="42" s="1"/>
  <c r="O185" i="42" s="1"/>
  <c r="M196" i="42"/>
  <c r="N196" i="42" s="1"/>
  <c r="O196" i="42" s="1"/>
  <c r="M145" i="42"/>
  <c r="N145" i="42" s="1"/>
  <c r="O145" i="42" s="1"/>
  <c r="M51" i="42"/>
  <c r="N51" i="42" s="1"/>
  <c r="O51" i="42" s="1"/>
  <c r="M20" i="42"/>
  <c r="N20" i="42" s="1"/>
  <c r="O20" i="42" s="1"/>
  <c r="M28" i="42"/>
  <c r="N28" i="42" s="1"/>
  <c r="O28" i="42" s="1"/>
  <c r="M159" i="42"/>
  <c r="N159" i="42" s="1"/>
  <c r="O159" i="42" s="1"/>
  <c r="M73" i="42"/>
  <c r="N73" i="42" s="1"/>
  <c r="O73" i="42" s="1"/>
  <c r="M86" i="42"/>
  <c r="N86" i="42" s="1"/>
  <c r="O86" i="42" s="1"/>
  <c r="M79" i="42"/>
  <c r="N79" i="42" s="1"/>
  <c r="O79" i="42" s="1"/>
  <c r="M224" i="42"/>
  <c r="N224" i="42" s="1"/>
  <c r="O224" i="42" s="1"/>
  <c r="M225" i="42"/>
  <c r="N225" i="42" s="1"/>
  <c r="O225" i="42" s="1"/>
  <c r="M200" i="42"/>
  <c r="N200" i="42" s="1"/>
  <c r="O200" i="42" s="1"/>
  <c r="M181" i="42"/>
  <c r="N181" i="42" s="1"/>
  <c r="O181" i="42" s="1"/>
  <c r="M14" i="42"/>
  <c r="N14" i="42" s="1"/>
  <c r="O14" i="42" s="1"/>
  <c r="M52" i="42"/>
  <c r="N52" i="42" s="1"/>
  <c r="O52" i="42" s="1"/>
  <c r="M116" i="42"/>
  <c r="N116" i="42" s="1"/>
  <c r="O116" i="42" s="1"/>
  <c r="M154" i="42"/>
  <c r="N154" i="42" s="1"/>
  <c r="O154" i="42" s="1"/>
  <c r="M90" i="42"/>
  <c r="N90" i="42" s="1"/>
  <c r="O90" i="42" s="1"/>
  <c r="M137" i="42"/>
  <c r="N137" i="42" s="1"/>
  <c r="O137" i="42" s="1"/>
  <c r="M203" i="42"/>
  <c r="N203" i="42" s="1"/>
  <c r="O203" i="42" s="1"/>
  <c r="M106" i="42"/>
  <c r="N106" i="42" s="1"/>
  <c r="O106" i="42" s="1"/>
  <c r="M11" i="42"/>
  <c r="N11" i="42" s="1"/>
  <c r="O11" i="42" s="1"/>
  <c r="M197" i="42"/>
  <c r="N197" i="42" s="1"/>
  <c r="O197" i="42" s="1"/>
  <c r="M174" i="42"/>
  <c r="N174" i="42" s="1"/>
  <c r="O174" i="42" s="1"/>
  <c r="M176" i="42"/>
  <c r="N176" i="42" s="1"/>
  <c r="O176" i="42" s="1"/>
  <c r="M94" i="42"/>
  <c r="N94" i="42" s="1"/>
  <c r="O94" i="42" s="1"/>
  <c r="M88" i="42"/>
  <c r="N88" i="42" s="1"/>
  <c r="O88" i="42" s="1"/>
  <c r="M21" i="42"/>
  <c r="N21" i="42" s="1"/>
  <c r="O21" i="42" s="1"/>
  <c r="M85" i="42"/>
  <c r="N85" i="42" s="1"/>
  <c r="O85" i="42" s="1"/>
  <c r="M228" i="42"/>
  <c r="N228" i="42" s="1"/>
  <c r="O228" i="42" s="1"/>
  <c r="M229" i="42"/>
  <c r="N229" i="42" s="1"/>
  <c r="O229" i="42" s="1"/>
  <c r="M198" i="42"/>
  <c r="N198" i="42" s="1"/>
  <c r="O198" i="42" s="1"/>
  <c r="M230" i="42"/>
  <c r="N230" i="42" s="1"/>
  <c r="O230" i="42" s="1"/>
  <c r="M44" i="42"/>
  <c r="N44" i="42" s="1"/>
  <c r="O44" i="42" s="1"/>
  <c r="M216" i="42"/>
  <c r="N216" i="42" s="1"/>
  <c r="O216" i="42" s="1"/>
  <c r="M190" i="42"/>
  <c r="N190" i="42" s="1"/>
  <c r="O190" i="42" s="1"/>
  <c r="M24" i="42"/>
  <c r="N24" i="42" s="1"/>
  <c r="O24" i="42" s="1"/>
  <c r="M223" i="42"/>
  <c r="N223" i="42" s="1"/>
  <c r="O223" i="42" s="1"/>
  <c r="M134" i="42"/>
  <c r="N134" i="42" s="1"/>
  <c r="O134" i="42" s="1"/>
  <c r="M192" i="42"/>
  <c r="N192" i="42" s="1"/>
  <c r="O192" i="42" s="1"/>
  <c r="M102" i="42"/>
  <c r="N102" i="42" s="1"/>
  <c r="O102" i="42" s="1"/>
  <c r="M133" i="42"/>
  <c r="N133" i="42" s="1"/>
  <c r="O133" i="42" s="1"/>
  <c r="M41" i="42"/>
  <c r="N41" i="42" s="1"/>
  <c r="O41" i="42" s="1"/>
  <c r="M19" i="42"/>
  <c r="N19" i="42" s="1"/>
  <c r="O19" i="42" s="1"/>
  <c r="M121" i="42"/>
  <c r="N121" i="42" s="1"/>
  <c r="O121" i="42" s="1"/>
  <c r="M215" i="42"/>
  <c r="N215" i="42" s="1"/>
  <c r="O215" i="42" s="1"/>
  <c r="M232" i="42"/>
  <c r="N232" i="42" s="1"/>
  <c r="O232" i="42" s="1"/>
  <c r="M234" i="42"/>
  <c r="N234" i="42" s="1"/>
  <c r="O234" i="42" s="1"/>
  <c r="M201" i="42"/>
  <c r="N201" i="42" s="1"/>
  <c r="O201" i="42" s="1"/>
  <c r="M69" i="42"/>
  <c r="N69" i="42" s="1"/>
  <c r="O69" i="42" s="1"/>
  <c r="M141" i="42"/>
  <c r="N141" i="42" s="1"/>
  <c r="O141" i="42" s="1"/>
  <c r="M114" i="42"/>
  <c r="N114" i="42" s="1"/>
  <c r="O114" i="42" s="1"/>
  <c r="M151" i="42"/>
  <c r="N151" i="42" s="1"/>
  <c r="O151" i="42" s="1"/>
  <c r="M67" i="42"/>
  <c r="N67" i="42" s="1"/>
  <c r="O67" i="42" s="1"/>
  <c r="M152" i="42"/>
  <c r="N152" i="42" s="1"/>
  <c r="O152" i="42" s="1"/>
  <c r="M125" i="42"/>
  <c r="N125" i="42" s="1"/>
  <c r="O125" i="42" s="1"/>
  <c r="M31" i="42"/>
  <c r="N31" i="42" s="1"/>
  <c r="O31" i="42" s="1"/>
  <c r="M109" i="42"/>
  <c r="N109" i="42" s="1"/>
  <c r="O109" i="42" s="1"/>
  <c r="M233" i="42"/>
  <c r="N233" i="42" s="1"/>
  <c r="O233" i="42" s="1"/>
  <c r="M80" i="42"/>
  <c r="N80" i="42" s="1"/>
  <c r="O80" i="42" s="1"/>
  <c r="M166" i="42"/>
  <c r="N166" i="42" s="1"/>
  <c r="O166" i="42" s="1"/>
  <c r="M82" i="42"/>
  <c r="N82" i="42" s="1"/>
  <c r="O82" i="42" s="1"/>
  <c r="M221" i="42"/>
  <c r="N221" i="42" s="1"/>
  <c r="O221" i="42" s="1"/>
  <c r="M23" i="42"/>
  <c r="N23" i="42" s="1"/>
  <c r="O23" i="42" s="1"/>
  <c r="M18" i="42"/>
  <c r="N18" i="42" s="1"/>
  <c r="O18" i="42" s="1"/>
  <c r="M61" i="42"/>
  <c r="N61" i="42" s="1"/>
  <c r="O61" i="42" s="1"/>
  <c r="M231" i="42"/>
  <c r="N231" i="42" s="1"/>
  <c r="O231" i="42" s="1"/>
  <c r="M76" i="42"/>
  <c r="N76" i="42" s="1"/>
  <c r="O76" i="42" s="1"/>
  <c r="M36" i="42"/>
  <c r="N36" i="42" s="1"/>
  <c r="O36" i="42" s="1"/>
  <c r="M189" i="42"/>
  <c r="N189" i="42" s="1"/>
  <c r="O189" i="42" s="1"/>
  <c r="M202" i="42"/>
  <c r="N202" i="42" s="1"/>
  <c r="O202" i="42" s="1"/>
  <c r="M126" i="42"/>
  <c r="N126" i="42" s="1"/>
  <c r="O126" i="42" s="1"/>
  <c r="M111" i="42"/>
  <c r="N111" i="42" s="1"/>
  <c r="O111" i="42" s="1"/>
  <c r="M210" i="42"/>
  <c r="N210" i="42" s="1"/>
  <c r="O210" i="42" s="1"/>
  <c r="M120" i="42"/>
  <c r="N120" i="42" s="1"/>
  <c r="O120" i="42" s="1"/>
  <c r="M59" i="42"/>
  <c r="N59" i="42" s="1"/>
  <c r="O59" i="42" s="1"/>
  <c r="M184" i="42"/>
  <c r="N184" i="42" s="1"/>
  <c r="O184" i="42" s="1"/>
  <c r="M99" i="42"/>
  <c r="N99" i="42" s="1"/>
  <c r="O99" i="42" s="1"/>
  <c r="M93" i="42"/>
  <c r="N93" i="42" s="1"/>
  <c r="O93" i="42" s="1"/>
  <c r="M25" i="42"/>
  <c r="N25" i="42" s="1"/>
  <c r="O25" i="42" s="1"/>
  <c r="M177" i="42"/>
  <c r="N177" i="42" s="1"/>
  <c r="O177" i="42" s="1"/>
  <c r="M92" i="42"/>
  <c r="N92" i="42" s="1"/>
  <c r="O92" i="42" s="1"/>
  <c r="M211" i="42"/>
  <c r="N211" i="42" s="1"/>
  <c r="O211" i="42" s="1"/>
  <c r="M75" i="42"/>
  <c r="N75" i="42" s="1"/>
  <c r="O75" i="42" s="1"/>
  <c r="M95" i="42"/>
  <c r="N95" i="42" s="1"/>
  <c r="O95" i="42" s="1"/>
  <c r="M168" i="42"/>
  <c r="N168" i="42" s="1"/>
  <c r="O168" i="42" s="1"/>
  <c r="M78" i="42"/>
  <c r="N78" i="42" s="1"/>
  <c r="O78" i="42" s="1"/>
  <c r="M170" i="42"/>
  <c r="N170" i="42" s="1"/>
  <c r="O170" i="42" s="1"/>
  <c r="M135" i="42"/>
  <c r="N135" i="42" s="1"/>
  <c r="O135" i="42" s="1"/>
  <c r="M83" i="42"/>
  <c r="N83" i="42" s="1"/>
  <c r="O83" i="42" s="1"/>
  <c r="M22" i="42"/>
  <c r="N22" i="42" s="1"/>
  <c r="O22" i="42" s="1"/>
  <c r="M48" i="42"/>
  <c r="N48" i="42" s="1"/>
  <c r="O48" i="42" s="1"/>
  <c r="M199" i="42"/>
  <c r="N199" i="42" s="1"/>
  <c r="O199" i="42" s="1"/>
  <c r="M37" i="42"/>
  <c r="N37" i="42" s="1"/>
  <c r="O37" i="42" s="1"/>
  <c r="M183" i="42"/>
  <c r="N183" i="42" s="1"/>
  <c r="O183" i="42" s="1"/>
  <c r="M108" i="42"/>
  <c r="N108" i="42" s="1"/>
  <c r="O108" i="42" s="1"/>
  <c r="M195" i="42"/>
  <c r="N195" i="42" s="1"/>
  <c r="O195" i="42" s="1"/>
  <c r="M130" i="42"/>
  <c r="N130" i="42" s="1"/>
  <c r="O130" i="42" s="1"/>
  <c r="M49" i="42"/>
  <c r="N49" i="42" s="1"/>
  <c r="O49" i="42" s="1"/>
  <c r="M193" i="42"/>
  <c r="N193" i="42" s="1"/>
  <c r="O193" i="42" s="1"/>
  <c r="M146" i="42"/>
  <c r="N146" i="42" s="1"/>
  <c r="O146" i="42" s="1"/>
  <c r="M119" i="42"/>
  <c r="N119" i="42" s="1"/>
  <c r="O119" i="42" s="1"/>
  <c r="M147" i="42"/>
  <c r="N147" i="42" s="1"/>
  <c r="O147" i="42" s="1"/>
  <c r="M64" i="42"/>
  <c r="N64" i="42" s="1"/>
  <c r="O64" i="42" s="1"/>
  <c r="M217" i="42"/>
  <c r="N217" i="42" s="1"/>
  <c r="O217" i="42" s="1"/>
  <c r="M148" i="42"/>
  <c r="N148" i="42" s="1"/>
  <c r="O148" i="42" s="1"/>
  <c r="M186" i="42"/>
  <c r="N186" i="42" s="1"/>
  <c r="O186" i="42" s="1"/>
  <c r="M96" i="42"/>
  <c r="N96" i="42" s="1"/>
  <c r="O96" i="42" s="1"/>
  <c r="M27" i="42"/>
  <c r="N27" i="42" s="1"/>
  <c r="O27" i="42" s="1"/>
  <c r="M91" i="42"/>
  <c r="N91" i="42" s="1"/>
  <c r="O91" i="42" s="1"/>
  <c r="M101" i="42"/>
  <c r="N101" i="42" s="1"/>
  <c r="O101" i="42" s="1"/>
  <c r="M54" i="42"/>
  <c r="N54" i="42" s="1"/>
  <c r="O54" i="42" s="1"/>
  <c r="M72" i="42"/>
  <c r="N72" i="42" s="1"/>
  <c r="O72" i="42" s="1"/>
  <c r="M68" i="42"/>
  <c r="N68" i="42" s="1"/>
  <c r="O68" i="42" s="1"/>
  <c r="M222" i="42"/>
  <c r="N222" i="42" s="1"/>
  <c r="O222" i="42" s="1"/>
  <c r="M43" i="42"/>
  <c r="N43" i="42" s="1"/>
  <c r="O43" i="42" s="1"/>
  <c r="M173" i="42"/>
  <c r="N173" i="42" s="1"/>
  <c r="O173" i="42" s="1"/>
  <c r="M128" i="42"/>
  <c r="N128" i="42" s="1"/>
  <c r="O128" i="42" s="1"/>
  <c r="M53" i="42"/>
  <c r="N53" i="42" s="1"/>
  <c r="O53" i="42" s="1"/>
  <c r="M113" i="42"/>
  <c r="N113" i="42" s="1"/>
  <c r="O113" i="42" s="1"/>
  <c r="M98" i="42"/>
  <c r="N98" i="42" s="1"/>
  <c r="O98" i="42" s="1"/>
  <c r="M127" i="42"/>
  <c r="N127" i="42" s="1"/>
  <c r="O127" i="42" s="1"/>
  <c r="M62" i="42"/>
  <c r="N62" i="42" s="1"/>
  <c r="O62" i="42" s="1"/>
  <c r="M63" i="42"/>
  <c r="N63" i="42" s="1"/>
  <c r="O63" i="42" s="1"/>
  <c r="M110" i="42"/>
  <c r="N110" i="42" s="1"/>
  <c r="O110" i="42" s="1"/>
  <c r="M143" i="42"/>
  <c r="N143" i="42" s="1"/>
  <c r="O143" i="42" s="1"/>
  <c r="M209" i="42"/>
  <c r="N209" i="42" s="1"/>
  <c r="O209" i="42" s="1"/>
  <c r="M129" i="42"/>
  <c r="N129" i="42" s="1"/>
  <c r="O129" i="42" s="1"/>
  <c r="M158" i="42"/>
  <c r="N158" i="42" s="1"/>
  <c r="O158" i="42" s="1"/>
  <c r="M157" i="42"/>
  <c r="N157" i="42" s="1"/>
  <c r="O157" i="42" s="1"/>
  <c r="M74" i="42"/>
  <c r="N74" i="42" s="1"/>
  <c r="O74" i="42" s="1"/>
  <c r="M105" i="42"/>
  <c r="N105" i="42" s="1"/>
  <c r="O105" i="42" s="1"/>
  <c r="M212" i="42"/>
  <c r="N212" i="42" s="1"/>
  <c r="O212" i="42" s="1"/>
  <c r="M187" i="42"/>
  <c r="N187" i="42" s="1"/>
  <c r="O187" i="42" s="1"/>
  <c r="M219" i="42"/>
  <c r="N219" i="42" s="1"/>
  <c r="O219" i="42" s="1"/>
  <c r="M115" i="42"/>
  <c r="N115" i="42" s="1"/>
  <c r="O115" i="42" s="1"/>
  <c r="M122" i="42"/>
  <c r="N122" i="42" s="1"/>
  <c r="O122" i="42" s="1"/>
  <c r="M87" i="42"/>
  <c r="N87" i="42" s="1"/>
  <c r="O87" i="42" s="1"/>
  <c r="M227" i="42"/>
  <c r="N227" i="42" s="1"/>
  <c r="O227" i="42" s="1"/>
  <c r="M104" i="42"/>
  <c r="N104" i="42" s="1"/>
  <c r="O104" i="42" s="1"/>
  <c r="M205" i="42"/>
  <c r="N205" i="42" s="1"/>
  <c r="O205" i="42" s="1"/>
  <c r="M164" i="42"/>
  <c r="N164" i="42" s="1"/>
  <c r="O164" i="42" s="1"/>
  <c r="M70" i="42"/>
  <c r="N70" i="42" s="1"/>
  <c r="O70" i="42" s="1"/>
  <c r="M42" i="42"/>
  <c r="N42" i="42" s="1"/>
  <c r="O42" i="42" s="1"/>
  <c r="M13" i="42"/>
  <c r="N13" i="42" s="1"/>
  <c r="O13" i="42" s="1"/>
  <c r="M149" i="42"/>
  <c r="N149" i="42" s="1"/>
  <c r="O149" i="42" s="1"/>
  <c r="M182" i="42"/>
  <c r="N182" i="42" s="1"/>
  <c r="O182" i="42" s="1"/>
  <c r="M38" i="42"/>
  <c r="N38" i="42" s="1"/>
  <c r="O38" i="42" s="1"/>
  <c r="M138" i="42"/>
  <c r="N138" i="42" s="1"/>
  <c r="O138" i="42" s="1"/>
  <c r="M26" i="42"/>
  <c r="N26" i="42" s="1"/>
  <c r="O26" i="42" s="1"/>
  <c r="M206" i="42"/>
  <c r="N206" i="42" s="1"/>
  <c r="O206" i="42" s="1"/>
  <c r="M58" i="42"/>
  <c r="N58" i="42" s="1"/>
  <c r="O58" i="42" s="1"/>
  <c r="M29" i="42"/>
  <c r="N29" i="42" s="1"/>
  <c r="O29" i="42" s="1"/>
  <c r="M161" i="42"/>
  <c r="N161" i="42" s="1"/>
  <c r="O161" i="42" s="1"/>
  <c r="M34" i="42"/>
  <c r="N34" i="42" s="1"/>
  <c r="O34" i="42" s="1"/>
  <c r="M107" i="42"/>
  <c r="N107" i="42" s="1"/>
  <c r="O107" i="42" s="1"/>
  <c r="M81" i="42"/>
  <c r="N81" i="42" s="1"/>
  <c r="O81" i="42" s="1"/>
  <c r="M77" i="42"/>
  <c r="N77" i="42" s="1"/>
  <c r="O77" i="42" s="1"/>
  <c r="M171" i="42"/>
  <c r="N171" i="42" s="1"/>
  <c r="O171" i="42" s="1"/>
  <c r="M188" i="42"/>
  <c r="N188" i="42" s="1"/>
  <c r="O188" i="42" s="1"/>
  <c r="M175" i="42"/>
  <c r="N175" i="42" s="1"/>
  <c r="O175" i="42" s="1"/>
  <c r="M84" i="42"/>
  <c r="N84" i="42" s="1"/>
  <c r="O84" i="42" s="1"/>
  <c r="M103" i="42"/>
  <c r="N103" i="42" s="1"/>
  <c r="O103" i="42" s="1"/>
  <c r="M65" i="42"/>
  <c r="N65" i="42" s="1"/>
  <c r="O65" i="42" s="1"/>
  <c r="M163" i="42"/>
  <c r="N163" i="42" s="1"/>
  <c r="O163" i="42" s="1"/>
  <c r="L231" i="41" l="1"/>
  <c r="N231" i="41" s="1"/>
  <c r="O231" i="41" s="1"/>
  <c r="Q231" i="41" s="1"/>
  <c r="R231" i="41" s="1"/>
  <c r="F231" i="41"/>
  <c r="G231" i="41" s="1"/>
  <c r="D231" i="41"/>
  <c r="L230" i="41"/>
  <c r="N230" i="41" s="1"/>
  <c r="O230" i="41" s="1"/>
  <c r="Q230" i="41" s="1"/>
  <c r="R230" i="41" s="1"/>
  <c r="F230" i="41"/>
  <c r="G230" i="41" s="1"/>
  <c r="D230" i="41"/>
  <c r="L229" i="41"/>
  <c r="N229" i="41" s="1"/>
  <c r="O229" i="41" s="1"/>
  <c r="Q229" i="41" s="1"/>
  <c r="R229" i="41" s="1"/>
  <c r="F229" i="41"/>
  <c r="G229" i="41" s="1"/>
  <c r="D229" i="41"/>
  <c r="L228" i="41"/>
  <c r="N228" i="41" s="1"/>
  <c r="O228" i="41" s="1"/>
  <c r="Q228" i="41" s="1"/>
  <c r="R228" i="41" s="1"/>
  <c r="F228" i="41"/>
  <c r="G228" i="41" s="1"/>
  <c r="D228" i="41"/>
  <c r="L227" i="41"/>
  <c r="N227" i="41" s="1"/>
  <c r="O227" i="41" s="1"/>
  <c r="Q227" i="41" s="1"/>
  <c r="R227" i="41" s="1"/>
  <c r="F227" i="41"/>
  <c r="G227" i="41" s="1"/>
  <c r="D227" i="41"/>
  <c r="L226" i="41"/>
  <c r="N226" i="41" s="1"/>
  <c r="O226" i="41" s="1"/>
  <c r="Q226" i="41" s="1"/>
  <c r="R226" i="41" s="1"/>
  <c r="F226" i="41"/>
  <c r="G226" i="41" s="1"/>
  <c r="D226" i="41"/>
  <c r="L225" i="41"/>
  <c r="N225" i="41" s="1"/>
  <c r="O225" i="41" s="1"/>
  <c r="Q225" i="41" s="1"/>
  <c r="R225" i="41" s="1"/>
  <c r="F225" i="41"/>
  <c r="G225" i="41" s="1"/>
  <c r="D225" i="41"/>
  <c r="L224" i="41"/>
  <c r="N224" i="41" s="1"/>
  <c r="O224" i="41" s="1"/>
  <c r="Q224" i="41" s="1"/>
  <c r="R224" i="41" s="1"/>
  <c r="F224" i="41"/>
  <c r="G224" i="41" s="1"/>
  <c r="D224" i="41"/>
  <c r="L223" i="41"/>
  <c r="N223" i="41" s="1"/>
  <c r="O223" i="41" s="1"/>
  <c r="Q223" i="41" s="1"/>
  <c r="R223" i="41" s="1"/>
  <c r="F223" i="41"/>
  <c r="G223" i="41" s="1"/>
  <c r="D223" i="41"/>
  <c r="L222" i="41"/>
  <c r="N222" i="41" s="1"/>
  <c r="O222" i="41" s="1"/>
  <c r="Q222" i="41" s="1"/>
  <c r="R222" i="41" s="1"/>
  <c r="F222" i="41"/>
  <c r="G222" i="41" s="1"/>
  <c r="D222" i="41"/>
  <c r="L221" i="41"/>
  <c r="N221" i="41" s="1"/>
  <c r="O221" i="41" s="1"/>
  <c r="Q221" i="41" s="1"/>
  <c r="R221" i="41" s="1"/>
  <c r="F221" i="41"/>
  <c r="G221" i="41" s="1"/>
  <c r="D221" i="41"/>
  <c r="L220" i="41"/>
  <c r="N220" i="41" s="1"/>
  <c r="O220" i="41" s="1"/>
  <c r="Q220" i="41" s="1"/>
  <c r="R220" i="41" s="1"/>
  <c r="F220" i="41"/>
  <c r="G220" i="41" s="1"/>
  <c r="D220" i="41"/>
  <c r="L219" i="41"/>
  <c r="N219" i="41" s="1"/>
  <c r="O219" i="41" s="1"/>
  <c r="Q219" i="41" s="1"/>
  <c r="R219" i="41" s="1"/>
  <c r="F219" i="41"/>
  <c r="G219" i="41" s="1"/>
  <c r="D219" i="41"/>
  <c r="L218" i="41"/>
  <c r="N218" i="41" s="1"/>
  <c r="O218" i="41" s="1"/>
  <c r="Q218" i="41" s="1"/>
  <c r="R218" i="41" s="1"/>
  <c r="F218" i="41"/>
  <c r="G218" i="41" s="1"/>
  <c r="D218" i="41"/>
  <c r="L217" i="41"/>
  <c r="N217" i="41" s="1"/>
  <c r="O217" i="41" s="1"/>
  <c r="Q217" i="41" s="1"/>
  <c r="R217" i="41" s="1"/>
  <c r="F217" i="41"/>
  <c r="G217" i="41" s="1"/>
  <c r="D217" i="41"/>
  <c r="L216" i="41"/>
  <c r="N216" i="41" s="1"/>
  <c r="O216" i="41" s="1"/>
  <c r="Q216" i="41" s="1"/>
  <c r="R216" i="41" s="1"/>
  <c r="F216" i="41"/>
  <c r="G216" i="41" s="1"/>
  <c r="D216" i="41"/>
  <c r="L215" i="41"/>
  <c r="N215" i="41" s="1"/>
  <c r="O215" i="41" s="1"/>
  <c r="Q215" i="41" s="1"/>
  <c r="R215" i="41" s="1"/>
  <c r="F215" i="41"/>
  <c r="G215" i="41" s="1"/>
  <c r="D215" i="41"/>
  <c r="L214" i="41"/>
  <c r="N214" i="41" s="1"/>
  <c r="O214" i="41" s="1"/>
  <c r="Q214" i="41" s="1"/>
  <c r="R214" i="41" s="1"/>
  <c r="F214" i="41"/>
  <c r="G214" i="41" s="1"/>
  <c r="D214" i="41"/>
  <c r="L213" i="41"/>
  <c r="N213" i="41" s="1"/>
  <c r="O213" i="41" s="1"/>
  <c r="Q213" i="41" s="1"/>
  <c r="R213" i="41" s="1"/>
  <c r="F213" i="41"/>
  <c r="G213" i="41" s="1"/>
  <c r="D213" i="41"/>
  <c r="L212" i="41"/>
  <c r="N212" i="41" s="1"/>
  <c r="O212" i="41" s="1"/>
  <c r="Q212" i="41" s="1"/>
  <c r="R212" i="41" s="1"/>
  <c r="F212" i="41"/>
  <c r="G212" i="41" s="1"/>
  <c r="D212" i="41"/>
  <c r="L211" i="41"/>
  <c r="N211" i="41" s="1"/>
  <c r="O211" i="41" s="1"/>
  <c r="Q211" i="41" s="1"/>
  <c r="R211" i="41" s="1"/>
  <c r="F211" i="41"/>
  <c r="G211" i="41" s="1"/>
  <c r="D211" i="41"/>
  <c r="L210" i="41"/>
  <c r="N210" i="41" s="1"/>
  <c r="O210" i="41" s="1"/>
  <c r="Q210" i="41" s="1"/>
  <c r="R210" i="41" s="1"/>
  <c r="F210" i="41"/>
  <c r="G210" i="41" s="1"/>
  <c r="D210" i="41"/>
  <c r="L209" i="41"/>
  <c r="N209" i="41" s="1"/>
  <c r="O209" i="41" s="1"/>
  <c r="Q209" i="41" s="1"/>
  <c r="R209" i="41" s="1"/>
  <c r="F209" i="41"/>
  <c r="G209" i="41" s="1"/>
  <c r="D209" i="41"/>
  <c r="L208" i="41"/>
  <c r="N208" i="41" s="1"/>
  <c r="O208" i="41" s="1"/>
  <c r="Q208" i="41" s="1"/>
  <c r="R208" i="41" s="1"/>
  <c r="J208" i="41"/>
  <c r="I208" i="41"/>
  <c r="D208" i="41"/>
  <c r="F208" i="41" s="1"/>
  <c r="G208" i="41" s="1"/>
  <c r="L207" i="41"/>
  <c r="N207" i="41" s="1"/>
  <c r="O207" i="41" s="1"/>
  <c r="Q207" i="41" s="1"/>
  <c r="R207" i="41" s="1"/>
  <c r="D207" i="41"/>
  <c r="F207" i="41" s="1"/>
  <c r="G207" i="41" s="1"/>
  <c r="L206" i="41"/>
  <c r="N206" i="41" s="1"/>
  <c r="O206" i="41" s="1"/>
  <c r="Q206" i="41" s="1"/>
  <c r="R206" i="41" s="1"/>
  <c r="F206" i="41"/>
  <c r="G206" i="41" s="1"/>
  <c r="I206" i="41" s="1"/>
  <c r="J206" i="41" s="1"/>
  <c r="D206" i="41"/>
  <c r="R205" i="41"/>
  <c r="L205" i="41"/>
  <c r="N205" i="41" s="1"/>
  <c r="O205" i="41" s="1"/>
  <c r="Q205" i="41" s="1"/>
  <c r="D205" i="41"/>
  <c r="F205" i="41" s="1"/>
  <c r="G205" i="41" s="1"/>
  <c r="S204" i="41"/>
  <c r="T204" i="41" s="1"/>
  <c r="R204" i="41"/>
  <c r="L204" i="41"/>
  <c r="N204" i="41" s="1"/>
  <c r="O204" i="41" s="1"/>
  <c r="Q204" i="41" s="1"/>
  <c r="F204" i="41"/>
  <c r="G204" i="41" s="1"/>
  <c r="I204" i="41" s="1"/>
  <c r="J204" i="41" s="1"/>
  <c r="D204" i="41"/>
  <c r="L203" i="41"/>
  <c r="N203" i="41" s="1"/>
  <c r="O203" i="41" s="1"/>
  <c r="Q203" i="41" s="1"/>
  <c r="R203" i="41" s="1"/>
  <c r="D203" i="41"/>
  <c r="F203" i="41" s="1"/>
  <c r="G203" i="41" s="1"/>
  <c r="R202" i="41"/>
  <c r="L202" i="41"/>
  <c r="N202" i="41" s="1"/>
  <c r="O202" i="41" s="1"/>
  <c r="Q202" i="41" s="1"/>
  <c r="D202" i="41"/>
  <c r="F202" i="41" s="1"/>
  <c r="G202" i="41" s="1"/>
  <c r="L201" i="41"/>
  <c r="N201" i="41" s="1"/>
  <c r="O201" i="41" s="1"/>
  <c r="Q201" i="41" s="1"/>
  <c r="R201" i="41" s="1"/>
  <c r="J201" i="41"/>
  <c r="I201" i="41"/>
  <c r="D201" i="41"/>
  <c r="F201" i="41" s="1"/>
  <c r="G201" i="41" s="1"/>
  <c r="R200" i="41"/>
  <c r="L200" i="41"/>
  <c r="N200" i="41" s="1"/>
  <c r="O200" i="41" s="1"/>
  <c r="Q200" i="41" s="1"/>
  <c r="F200" i="41"/>
  <c r="G200" i="41" s="1"/>
  <c r="D200" i="41"/>
  <c r="R199" i="41"/>
  <c r="L199" i="41"/>
  <c r="N199" i="41" s="1"/>
  <c r="O199" i="41" s="1"/>
  <c r="Q199" i="41" s="1"/>
  <c r="F199" i="41"/>
  <c r="G199" i="41" s="1"/>
  <c r="D199" i="41"/>
  <c r="L198" i="41"/>
  <c r="N198" i="41" s="1"/>
  <c r="O198" i="41" s="1"/>
  <c r="Q198" i="41" s="1"/>
  <c r="R198" i="41" s="1"/>
  <c r="G198" i="41"/>
  <c r="F198" i="41"/>
  <c r="D198" i="41"/>
  <c r="L197" i="41"/>
  <c r="N197" i="41" s="1"/>
  <c r="O197" i="41" s="1"/>
  <c r="Q197" i="41" s="1"/>
  <c r="R197" i="41" s="1"/>
  <c r="F197" i="41"/>
  <c r="G197" i="41" s="1"/>
  <c r="D197" i="41"/>
  <c r="L196" i="41"/>
  <c r="N196" i="41" s="1"/>
  <c r="O196" i="41" s="1"/>
  <c r="Q196" i="41" s="1"/>
  <c r="R196" i="41" s="1"/>
  <c r="F196" i="41"/>
  <c r="G196" i="41" s="1"/>
  <c r="D196" i="41"/>
  <c r="N195" i="41"/>
  <c r="O195" i="41" s="1"/>
  <c r="Q195" i="41" s="1"/>
  <c r="R195" i="41" s="1"/>
  <c r="L195" i="41"/>
  <c r="I195" i="41"/>
  <c r="G195" i="41"/>
  <c r="D195" i="41"/>
  <c r="F195" i="41" s="1"/>
  <c r="L194" i="41"/>
  <c r="N194" i="41" s="1"/>
  <c r="O194" i="41" s="1"/>
  <c r="Q194" i="41" s="1"/>
  <c r="R194" i="41" s="1"/>
  <c r="F194" i="41"/>
  <c r="G194" i="41" s="1"/>
  <c r="D194" i="41"/>
  <c r="O193" i="41"/>
  <c r="Q193" i="41" s="1"/>
  <c r="R193" i="41" s="1"/>
  <c r="N193" i="41"/>
  <c r="L193" i="41"/>
  <c r="D193" i="41"/>
  <c r="F193" i="41" s="1"/>
  <c r="G193" i="41" s="1"/>
  <c r="N192" i="41"/>
  <c r="O192" i="41" s="1"/>
  <c r="Q192" i="41" s="1"/>
  <c r="R192" i="41" s="1"/>
  <c r="L192" i="41"/>
  <c r="D192" i="41"/>
  <c r="F192" i="41" s="1"/>
  <c r="G192" i="41" s="1"/>
  <c r="R191" i="41"/>
  <c r="L191" i="41"/>
  <c r="N191" i="41" s="1"/>
  <c r="O191" i="41" s="1"/>
  <c r="Q191" i="41" s="1"/>
  <c r="F191" i="41"/>
  <c r="G191" i="41" s="1"/>
  <c r="D191" i="41"/>
  <c r="N190" i="41"/>
  <c r="O190" i="41" s="1"/>
  <c r="Q190" i="41" s="1"/>
  <c r="R190" i="41" s="1"/>
  <c r="L190" i="41"/>
  <c r="D190" i="41"/>
  <c r="F190" i="41" s="1"/>
  <c r="G190" i="41" s="1"/>
  <c r="Q189" i="41"/>
  <c r="R189" i="41" s="1"/>
  <c r="O189" i="41"/>
  <c r="L189" i="41"/>
  <c r="N189" i="41" s="1"/>
  <c r="D189" i="41"/>
  <c r="F189" i="41" s="1"/>
  <c r="G189" i="41" s="1"/>
  <c r="O188" i="41"/>
  <c r="Q188" i="41" s="1"/>
  <c r="R188" i="41" s="1"/>
  <c r="N188" i="41"/>
  <c r="L188" i="41"/>
  <c r="G188" i="41"/>
  <c r="I188" i="41" s="1"/>
  <c r="J188" i="41" s="1"/>
  <c r="F188" i="41"/>
  <c r="D188" i="41"/>
  <c r="L187" i="41"/>
  <c r="N187" i="41" s="1"/>
  <c r="O187" i="41" s="1"/>
  <c r="Q187" i="41" s="1"/>
  <c r="R187" i="41" s="1"/>
  <c r="F187" i="41"/>
  <c r="G187" i="41" s="1"/>
  <c r="D187" i="41"/>
  <c r="L186" i="41"/>
  <c r="N186" i="41" s="1"/>
  <c r="O186" i="41" s="1"/>
  <c r="Q186" i="41" s="1"/>
  <c r="R186" i="41" s="1"/>
  <c r="D186" i="41"/>
  <c r="F186" i="41" s="1"/>
  <c r="G186" i="41" s="1"/>
  <c r="L185" i="41"/>
  <c r="N185" i="41" s="1"/>
  <c r="O185" i="41" s="1"/>
  <c r="Q185" i="41" s="1"/>
  <c r="R185" i="41" s="1"/>
  <c r="I185" i="41"/>
  <c r="F185" i="41"/>
  <c r="G185" i="41" s="1"/>
  <c r="D185" i="41"/>
  <c r="N184" i="41"/>
  <c r="O184" i="41" s="1"/>
  <c r="Q184" i="41" s="1"/>
  <c r="R184" i="41" s="1"/>
  <c r="L184" i="41"/>
  <c r="I184" i="41"/>
  <c r="G184" i="41"/>
  <c r="D184" i="41"/>
  <c r="F184" i="41" s="1"/>
  <c r="L183" i="41"/>
  <c r="N183" i="41" s="1"/>
  <c r="O183" i="41" s="1"/>
  <c r="Q183" i="41" s="1"/>
  <c r="R183" i="41" s="1"/>
  <c r="G183" i="41"/>
  <c r="F183" i="41"/>
  <c r="D183" i="41"/>
  <c r="L182" i="41"/>
  <c r="N182" i="41" s="1"/>
  <c r="O182" i="41" s="1"/>
  <c r="Q182" i="41" s="1"/>
  <c r="R182" i="41" s="1"/>
  <c r="F182" i="41"/>
  <c r="G182" i="41" s="1"/>
  <c r="D182" i="41"/>
  <c r="O181" i="41"/>
  <c r="Q181" i="41" s="1"/>
  <c r="R181" i="41" s="1"/>
  <c r="N181" i="41"/>
  <c r="L181" i="41"/>
  <c r="D181" i="41"/>
  <c r="F181" i="41" s="1"/>
  <c r="G181" i="41" s="1"/>
  <c r="N180" i="41"/>
  <c r="O180" i="41" s="1"/>
  <c r="Q180" i="41" s="1"/>
  <c r="R180" i="41" s="1"/>
  <c r="L180" i="41"/>
  <c r="G180" i="41"/>
  <c r="D180" i="41"/>
  <c r="F180" i="41" s="1"/>
  <c r="L179" i="41"/>
  <c r="N179" i="41" s="1"/>
  <c r="O179" i="41" s="1"/>
  <c r="Q179" i="41" s="1"/>
  <c r="R179" i="41" s="1"/>
  <c r="F179" i="41"/>
  <c r="G179" i="41" s="1"/>
  <c r="D179" i="41"/>
  <c r="Q178" i="41"/>
  <c r="R178" i="41" s="1"/>
  <c r="N178" i="41"/>
  <c r="O178" i="41" s="1"/>
  <c r="L178" i="41"/>
  <c r="D178" i="41"/>
  <c r="F178" i="41" s="1"/>
  <c r="G178" i="41" s="1"/>
  <c r="L177" i="41"/>
  <c r="N177" i="41" s="1"/>
  <c r="O177" i="41" s="1"/>
  <c r="Q177" i="41" s="1"/>
  <c r="R177" i="41" s="1"/>
  <c r="D177" i="41"/>
  <c r="F177" i="41" s="1"/>
  <c r="G177" i="41" s="1"/>
  <c r="O176" i="41"/>
  <c r="Q176" i="41" s="1"/>
  <c r="R176" i="41" s="1"/>
  <c r="N176" i="41"/>
  <c r="L176" i="41"/>
  <c r="J176" i="41"/>
  <c r="G176" i="41"/>
  <c r="I176" i="41" s="1"/>
  <c r="F176" i="41"/>
  <c r="D176" i="41"/>
  <c r="L175" i="41"/>
  <c r="N175" i="41" s="1"/>
  <c r="O175" i="41" s="1"/>
  <c r="Q175" i="41" s="1"/>
  <c r="R175" i="41" s="1"/>
  <c r="F175" i="41"/>
  <c r="G175" i="41" s="1"/>
  <c r="D175" i="41"/>
  <c r="Q174" i="41"/>
  <c r="R174" i="41" s="1"/>
  <c r="L174" i="41"/>
  <c r="N174" i="41" s="1"/>
  <c r="O174" i="41" s="1"/>
  <c r="D174" i="41"/>
  <c r="F174" i="41" s="1"/>
  <c r="G174" i="41" s="1"/>
  <c r="O173" i="41"/>
  <c r="Q173" i="41" s="1"/>
  <c r="R173" i="41" s="1"/>
  <c r="L173" i="41"/>
  <c r="N173" i="41" s="1"/>
  <c r="I173" i="41"/>
  <c r="F173" i="41"/>
  <c r="G173" i="41" s="1"/>
  <c r="D173" i="41"/>
  <c r="N172" i="41"/>
  <c r="O172" i="41" s="1"/>
  <c r="Q172" i="41" s="1"/>
  <c r="R172" i="41" s="1"/>
  <c r="L172" i="41"/>
  <c r="I172" i="41"/>
  <c r="G172" i="41"/>
  <c r="D172" i="41"/>
  <c r="F172" i="41" s="1"/>
  <c r="L171" i="41"/>
  <c r="N171" i="41" s="1"/>
  <c r="O171" i="41" s="1"/>
  <c r="Q171" i="41" s="1"/>
  <c r="R171" i="41" s="1"/>
  <c r="G171" i="41"/>
  <c r="F171" i="41"/>
  <c r="D171" i="41"/>
  <c r="L170" i="41"/>
  <c r="N170" i="41" s="1"/>
  <c r="O170" i="41" s="1"/>
  <c r="Q170" i="41" s="1"/>
  <c r="R170" i="41" s="1"/>
  <c r="D170" i="41"/>
  <c r="F170" i="41" s="1"/>
  <c r="G170" i="41" s="1"/>
  <c r="R169" i="41"/>
  <c r="O169" i="41"/>
  <c r="Q169" i="41" s="1"/>
  <c r="N169" i="41"/>
  <c r="L169" i="41"/>
  <c r="I169" i="41"/>
  <c r="D169" i="41"/>
  <c r="F169" i="41" s="1"/>
  <c r="G169" i="41" s="1"/>
  <c r="Q168" i="41"/>
  <c r="R168" i="41" s="1"/>
  <c r="N168" i="41"/>
  <c r="O168" i="41" s="1"/>
  <c r="L168" i="41"/>
  <c r="D168" i="41"/>
  <c r="F168" i="41" s="1"/>
  <c r="G168" i="41" s="1"/>
  <c r="L167" i="41"/>
  <c r="N167" i="41" s="1"/>
  <c r="O167" i="41" s="1"/>
  <c r="Q167" i="41" s="1"/>
  <c r="R167" i="41" s="1"/>
  <c r="F167" i="41"/>
  <c r="G167" i="41" s="1"/>
  <c r="D167" i="41"/>
  <c r="Q166" i="41"/>
  <c r="R166" i="41" s="1"/>
  <c r="N166" i="41"/>
  <c r="O166" i="41" s="1"/>
  <c r="L166" i="41"/>
  <c r="D166" i="41"/>
  <c r="F166" i="41" s="1"/>
  <c r="G166" i="41" s="1"/>
  <c r="O165" i="41"/>
  <c r="Q165" i="41" s="1"/>
  <c r="R165" i="41" s="1"/>
  <c r="L165" i="41"/>
  <c r="N165" i="41" s="1"/>
  <c r="D165" i="41"/>
  <c r="F165" i="41" s="1"/>
  <c r="G165" i="41" s="1"/>
  <c r="O164" i="41"/>
  <c r="Q164" i="41" s="1"/>
  <c r="R164" i="41" s="1"/>
  <c r="N164" i="41"/>
  <c r="L164" i="41"/>
  <c r="J164" i="41"/>
  <c r="S164" i="41" s="1"/>
  <c r="T164" i="41" s="1"/>
  <c r="G164" i="41"/>
  <c r="I164" i="41" s="1"/>
  <c r="F164" i="41"/>
  <c r="D164" i="41"/>
  <c r="N163" i="41"/>
  <c r="O163" i="41" s="1"/>
  <c r="Q163" i="41" s="1"/>
  <c r="R163" i="41" s="1"/>
  <c r="L163" i="41"/>
  <c r="F163" i="41"/>
  <c r="G163" i="41" s="1"/>
  <c r="D163" i="41"/>
  <c r="Q162" i="41"/>
  <c r="R162" i="41" s="1"/>
  <c r="L162" i="41"/>
  <c r="N162" i="41" s="1"/>
  <c r="O162" i="41" s="1"/>
  <c r="D162" i="41"/>
  <c r="F162" i="41" s="1"/>
  <c r="G162" i="41" s="1"/>
  <c r="J162" i="41" s="1"/>
  <c r="L161" i="41"/>
  <c r="N161" i="41" s="1"/>
  <c r="O161" i="41" s="1"/>
  <c r="Q161" i="41" s="1"/>
  <c r="R161" i="41" s="1"/>
  <c r="J161" i="41"/>
  <c r="I161" i="41"/>
  <c r="F161" i="41"/>
  <c r="G161" i="41" s="1"/>
  <c r="D161" i="41"/>
  <c r="N160" i="41"/>
  <c r="O160" i="41" s="1"/>
  <c r="Q160" i="41" s="1"/>
  <c r="R160" i="41" s="1"/>
  <c r="L160" i="41"/>
  <c r="G160" i="41"/>
  <c r="D160" i="41"/>
  <c r="F160" i="41" s="1"/>
  <c r="L159" i="41"/>
  <c r="N159" i="41" s="1"/>
  <c r="O159" i="41" s="1"/>
  <c r="Q159" i="41" s="1"/>
  <c r="R159" i="41" s="1"/>
  <c r="F159" i="41"/>
  <c r="G159" i="41" s="1"/>
  <c r="D159" i="41"/>
  <c r="S158" i="41"/>
  <c r="T158" i="41" s="1"/>
  <c r="L158" i="41"/>
  <c r="N158" i="41" s="1"/>
  <c r="O158" i="41" s="1"/>
  <c r="Q158" i="41" s="1"/>
  <c r="R158" i="41" s="1"/>
  <c r="J158" i="41"/>
  <c r="G158" i="41"/>
  <c r="I158" i="41" s="1"/>
  <c r="F158" i="41"/>
  <c r="D158" i="41"/>
  <c r="R157" i="41"/>
  <c r="O157" i="41"/>
  <c r="Q157" i="41" s="1"/>
  <c r="N157" i="41"/>
  <c r="L157" i="41"/>
  <c r="F157" i="41"/>
  <c r="G157" i="41" s="1"/>
  <c r="I157" i="41" s="1"/>
  <c r="D157" i="41"/>
  <c r="Q156" i="41"/>
  <c r="R156" i="41" s="1"/>
  <c r="N156" i="41"/>
  <c r="O156" i="41" s="1"/>
  <c r="L156" i="41"/>
  <c r="D156" i="41"/>
  <c r="F156" i="41" s="1"/>
  <c r="G156" i="41" s="1"/>
  <c r="L155" i="41"/>
  <c r="N155" i="41" s="1"/>
  <c r="O155" i="41" s="1"/>
  <c r="Q155" i="41" s="1"/>
  <c r="R155" i="41" s="1"/>
  <c r="F155" i="41"/>
  <c r="G155" i="41" s="1"/>
  <c r="D155" i="41"/>
  <c r="R154" i="41"/>
  <c r="Q154" i="41"/>
  <c r="N154" i="41"/>
  <c r="O154" i="41" s="1"/>
  <c r="L154" i="41"/>
  <c r="D154" i="41"/>
  <c r="F154" i="41" s="1"/>
  <c r="G154" i="41" s="1"/>
  <c r="L153" i="41"/>
  <c r="N153" i="41" s="1"/>
  <c r="O153" i="41" s="1"/>
  <c r="Q153" i="41" s="1"/>
  <c r="R153" i="41" s="1"/>
  <c r="D153" i="41"/>
  <c r="F153" i="41" s="1"/>
  <c r="G153" i="41" s="1"/>
  <c r="O152" i="41"/>
  <c r="Q152" i="41" s="1"/>
  <c r="R152" i="41" s="1"/>
  <c r="N152" i="41"/>
  <c r="L152" i="41"/>
  <c r="G152" i="41"/>
  <c r="I152" i="41" s="1"/>
  <c r="J152" i="41" s="1"/>
  <c r="S152" i="41" s="1"/>
  <c r="T152" i="41" s="1"/>
  <c r="F152" i="41"/>
  <c r="D152" i="41"/>
  <c r="N151" i="41"/>
  <c r="O151" i="41" s="1"/>
  <c r="Q151" i="41" s="1"/>
  <c r="R151" i="41" s="1"/>
  <c r="L151" i="41"/>
  <c r="F151" i="41"/>
  <c r="G151" i="41" s="1"/>
  <c r="D151" i="41"/>
  <c r="L150" i="41"/>
  <c r="N150" i="41" s="1"/>
  <c r="O150" i="41" s="1"/>
  <c r="Q150" i="41" s="1"/>
  <c r="R150" i="41" s="1"/>
  <c r="G150" i="41"/>
  <c r="D150" i="41"/>
  <c r="F150" i="41" s="1"/>
  <c r="L149" i="41"/>
  <c r="N149" i="41" s="1"/>
  <c r="O149" i="41" s="1"/>
  <c r="Q149" i="41" s="1"/>
  <c r="R149" i="41" s="1"/>
  <c r="F149" i="41"/>
  <c r="G149" i="41" s="1"/>
  <c r="D149" i="41"/>
  <c r="N148" i="41"/>
  <c r="O148" i="41" s="1"/>
  <c r="Q148" i="41" s="1"/>
  <c r="R148" i="41" s="1"/>
  <c r="L148" i="41"/>
  <c r="J148" i="41"/>
  <c r="G148" i="41"/>
  <c r="D148" i="41"/>
  <c r="F148" i="41" s="1"/>
  <c r="L147" i="41"/>
  <c r="N147" i="41" s="1"/>
  <c r="O147" i="41" s="1"/>
  <c r="Q147" i="41" s="1"/>
  <c r="R147" i="41" s="1"/>
  <c r="I147" i="41"/>
  <c r="G147" i="41"/>
  <c r="F147" i="41"/>
  <c r="D147" i="41"/>
  <c r="L146" i="41"/>
  <c r="N146" i="41" s="1"/>
  <c r="O146" i="41" s="1"/>
  <c r="Q146" i="41" s="1"/>
  <c r="R146" i="41" s="1"/>
  <c r="G146" i="41"/>
  <c r="F146" i="41"/>
  <c r="D146" i="41"/>
  <c r="L145" i="41"/>
  <c r="N145" i="41" s="1"/>
  <c r="O145" i="41" s="1"/>
  <c r="Q145" i="41" s="1"/>
  <c r="R145" i="41" s="1"/>
  <c r="I145" i="41"/>
  <c r="G145" i="41"/>
  <c r="F145" i="41"/>
  <c r="D145" i="41"/>
  <c r="L144" i="41"/>
  <c r="N144" i="41" s="1"/>
  <c r="O144" i="41" s="1"/>
  <c r="Q144" i="41" s="1"/>
  <c r="R144" i="41" s="1"/>
  <c r="G144" i="41"/>
  <c r="D144" i="41"/>
  <c r="F144" i="41" s="1"/>
  <c r="L143" i="41"/>
  <c r="N143" i="41" s="1"/>
  <c r="O143" i="41" s="1"/>
  <c r="Q143" i="41" s="1"/>
  <c r="R143" i="41" s="1"/>
  <c r="I143" i="41"/>
  <c r="F143" i="41"/>
  <c r="G143" i="41" s="1"/>
  <c r="D143" i="41"/>
  <c r="L142" i="41"/>
  <c r="N142" i="41" s="1"/>
  <c r="O142" i="41" s="1"/>
  <c r="Q142" i="41" s="1"/>
  <c r="R142" i="41" s="1"/>
  <c r="D142" i="41"/>
  <c r="F142" i="41" s="1"/>
  <c r="G142" i="41" s="1"/>
  <c r="N141" i="41"/>
  <c r="O141" i="41" s="1"/>
  <c r="Q141" i="41" s="1"/>
  <c r="R141" i="41" s="1"/>
  <c r="L141" i="41"/>
  <c r="F141" i="41"/>
  <c r="G141" i="41" s="1"/>
  <c r="D141" i="41"/>
  <c r="L140" i="41"/>
  <c r="N140" i="41" s="1"/>
  <c r="O140" i="41" s="1"/>
  <c r="Q140" i="41" s="1"/>
  <c r="R140" i="41" s="1"/>
  <c r="D140" i="41"/>
  <c r="F140" i="41" s="1"/>
  <c r="G140" i="41" s="1"/>
  <c r="N139" i="41"/>
  <c r="O139" i="41" s="1"/>
  <c r="Q139" i="41" s="1"/>
  <c r="R139" i="41" s="1"/>
  <c r="L139" i="41"/>
  <c r="I139" i="41"/>
  <c r="F139" i="41"/>
  <c r="G139" i="41" s="1"/>
  <c r="D139" i="41"/>
  <c r="N138" i="41"/>
  <c r="O138" i="41" s="1"/>
  <c r="Q138" i="41" s="1"/>
  <c r="R138" i="41" s="1"/>
  <c r="L138" i="41"/>
  <c r="F138" i="41"/>
  <c r="G138" i="41" s="1"/>
  <c r="I138" i="41" s="1"/>
  <c r="D138" i="41"/>
  <c r="N137" i="41"/>
  <c r="O137" i="41" s="1"/>
  <c r="Q137" i="41" s="1"/>
  <c r="R137" i="41" s="1"/>
  <c r="L137" i="41"/>
  <c r="D137" i="41"/>
  <c r="F137" i="41" s="1"/>
  <c r="G137" i="41" s="1"/>
  <c r="N136" i="41"/>
  <c r="O136" i="41" s="1"/>
  <c r="Q136" i="41" s="1"/>
  <c r="R136" i="41" s="1"/>
  <c r="L136" i="41"/>
  <c r="F136" i="41"/>
  <c r="G136" i="41" s="1"/>
  <c r="D136" i="41"/>
  <c r="N135" i="41"/>
  <c r="O135" i="41" s="1"/>
  <c r="Q135" i="41" s="1"/>
  <c r="R135" i="41" s="1"/>
  <c r="L135" i="41"/>
  <c r="I135" i="41"/>
  <c r="F135" i="41"/>
  <c r="G135" i="41" s="1"/>
  <c r="D135" i="41"/>
  <c r="L134" i="41"/>
  <c r="N134" i="41" s="1"/>
  <c r="O134" i="41" s="1"/>
  <c r="Q134" i="41" s="1"/>
  <c r="R134" i="41" s="1"/>
  <c r="G134" i="41"/>
  <c r="D134" i="41"/>
  <c r="F134" i="41" s="1"/>
  <c r="T133" i="41"/>
  <c r="S133" i="41"/>
  <c r="N133" i="41"/>
  <c r="O133" i="41" s="1"/>
  <c r="Q133" i="41" s="1"/>
  <c r="R133" i="41" s="1"/>
  <c r="L133" i="41"/>
  <c r="F133" i="41"/>
  <c r="G133" i="41" s="1"/>
  <c r="J133" i="41" s="1"/>
  <c r="D133" i="41"/>
  <c r="L132" i="41"/>
  <c r="N132" i="41" s="1"/>
  <c r="O132" i="41" s="1"/>
  <c r="Q132" i="41" s="1"/>
  <c r="R132" i="41" s="1"/>
  <c r="G132" i="41"/>
  <c r="D132" i="41"/>
  <c r="F132" i="41" s="1"/>
  <c r="L131" i="41"/>
  <c r="N131" i="41" s="1"/>
  <c r="O131" i="41" s="1"/>
  <c r="Q131" i="41" s="1"/>
  <c r="R131" i="41" s="1"/>
  <c r="G131" i="41"/>
  <c r="D131" i="41"/>
  <c r="F131" i="41" s="1"/>
  <c r="N130" i="41"/>
  <c r="O130" i="41" s="1"/>
  <c r="Q130" i="41" s="1"/>
  <c r="R130" i="41" s="1"/>
  <c r="L130" i="41"/>
  <c r="D130" i="41"/>
  <c r="F130" i="41" s="1"/>
  <c r="G130" i="41" s="1"/>
  <c r="I130" i="41" s="1"/>
  <c r="J130" i="41" s="1"/>
  <c r="S130" i="41" s="1"/>
  <c r="T130" i="41" s="1"/>
  <c r="N129" i="41"/>
  <c r="O129" i="41" s="1"/>
  <c r="Q129" i="41" s="1"/>
  <c r="R129" i="41" s="1"/>
  <c r="L129" i="41"/>
  <c r="D129" i="41"/>
  <c r="F129" i="41" s="1"/>
  <c r="G129" i="41" s="1"/>
  <c r="N128" i="41"/>
  <c r="O128" i="41" s="1"/>
  <c r="Q128" i="41" s="1"/>
  <c r="R128" i="41" s="1"/>
  <c r="L128" i="41"/>
  <c r="D128" i="41"/>
  <c r="F128" i="41" s="1"/>
  <c r="G128" i="41" s="1"/>
  <c r="I128" i="41" s="1"/>
  <c r="R127" i="41"/>
  <c r="N127" i="41"/>
  <c r="O127" i="41" s="1"/>
  <c r="Q127" i="41" s="1"/>
  <c r="L127" i="41"/>
  <c r="D127" i="41"/>
  <c r="F127" i="41" s="1"/>
  <c r="G127" i="41" s="1"/>
  <c r="L126" i="41"/>
  <c r="N126" i="41" s="1"/>
  <c r="O126" i="41" s="1"/>
  <c r="Q126" i="41" s="1"/>
  <c r="R126" i="41" s="1"/>
  <c r="G126" i="41"/>
  <c r="D126" i="41"/>
  <c r="F126" i="41" s="1"/>
  <c r="L125" i="41"/>
  <c r="N125" i="41" s="1"/>
  <c r="O125" i="41" s="1"/>
  <c r="Q125" i="41" s="1"/>
  <c r="R125" i="41" s="1"/>
  <c r="G125" i="41"/>
  <c r="F125" i="41"/>
  <c r="D125" i="41"/>
  <c r="N124" i="41"/>
  <c r="O124" i="41" s="1"/>
  <c r="Q124" i="41" s="1"/>
  <c r="R124" i="41" s="1"/>
  <c r="L124" i="41"/>
  <c r="G124" i="41"/>
  <c r="F124" i="41"/>
  <c r="D124" i="41"/>
  <c r="N123" i="41"/>
  <c r="O123" i="41" s="1"/>
  <c r="Q123" i="41" s="1"/>
  <c r="R123" i="41" s="1"/>
  <c r="L123" i="41"/>
  <c r="D123" i="41"/>
  <c r="F123" i="41" s="1"/>
  <c r="G123" i="41" s="1"/>
  <c r="N122" i="41"/>
  <c r="O122" i="41" s="1"/>
  <c r="Q122" i="41" s="1"/>
  <c r="R122" i="41" s="1"/>
  <c r="L122" i="41"/>
  <c r="J122" i="41"/>
  <c r="D122" i="41"/>
  <c r="F122" i="41" s="1"/>
  <c r="G122" i="41" s="1"/>
  <c r="L121" i="41"/>
  <c r="N121" i="41" s="1"/>
  <c r="O121" i="41" s="1"/>
  <c r="Q121" i="41" s="1"/>
  <c r="R121" i="41" s="1"/>
  <c r="D121" i="41"/>
  <c r="F121" i="41" s="1"/>
  <c r="G121" i="41" s="1"/>
  <c r="L120" i="41"/>
  <c r="N120" i="41" s="1"/>
  <c r="O120" i="41" s="1"/>
  <c r="Q120" i="41" s="1"/>
  <c r="R120" i="41" s="1"/>
  <c r="G120" i="41"/>
  <c r="I120" i="41" s="1"/>
  <c r="J120" i="41" s="1"/>
  <c r="S120" i="41" s="1"/>
  <c r="T120" i="41" s="1"/>
  <c r="D120" i="41"/>
  <c r="F120" i="41" s="1"/>
  <c r="L119" i="41"/>
  <c r="N119" i="41" s="1"/>
  <c r="O119" i="41" s="1"/>
  <c r="Q119" i="41" s="1"/>
  <c r="R119" i="41" s="1"/>
  <c r="I119" i="41"/>
  <c r="G119" i="41"/>
  <c r="D119" i="41"/>
  <c r="F119" i="41" s="1"/>
  <c r="Q118" i="41"/>
  <c r="R118" i="41" s="1"/>
  <c r="L118" i="41"/>
  <c r="N118" i="41" s="1"/>
  <c r="O118" i="41" s="1"/>
  <c r="F118" i="41"/>
  <c r="G118" i="41" s="1"/>
  <c r="D118" i="41"/>
  <c r="R117" i="41"/>
  <c r="N117" i="41"/>
  <c r="O117" i="41" s="1"/>
  <c r="Q117" i="41" s="1"/>
  <c r="L117" i="41"/>
  <c r="J117" i="41"/>
  <c r="F117" i="41"/>
  <c r="G117" i="41" s="1"/>
  <c r="D117" i="41"/>
  <c r="L116" i="41"/>
  <c r="N116" i="41" s="1"/>
  <c r="O116" i="41" s="1"/>
  <c r="Q116" i="41" s="1"/>
  <c r="R116" i="41" s="1"/>
  <c r="D116" i="41"/>
  <c r="F116" i="41" s="1"/>
  <c r="G116" i="41" s="1"/>
  <c r="R115" i="41"/>
  <c r="N115" i="41"/>
  <c r="O115" i="41" s="1"/>
  <c r="Q115" i="41" s="1"/>
  <c r="L115" i="41"/>
  <c r="F115" i="41"/>
  <c r="G115" i="41" s="1"/>
  <c r="D115" i="41"/>
  <c r="R114" i="41"/>
  <c r="Q114" i="41"/>
  <c r="L114" i="41"/>
  <c r="N114" i="41" s="1"/>
  <c r="O114" i="41" s="1"/>
  <c r="D114" i="41"/>
  <c r="F114" i="41" s="1"/>
  <c r="G114" i="41" s="1"/>
  <c r="R113" i="41"/>
  <c r="Q113" i="41"/>
  <c r="N113" i="41"/>
  <c r="O113" i="41" s="1"/>
  <c r="L113" i="41"/>
  <c r="J113" i="41"/>
  <c r="G113" i="41"/>
  <c r="I113" i="41" s="1"/>
  <c r="D113" i="41"/>
  <c r="F113" i="41" s="1"/>
  <c r="L112" i="41"/>
  <c r="N112" i="41" s="1"/>
  <c r="O112" i="41" s="1"/>
  <c r="Q112" i="41" s="1"/>
  <c r="R112" i="41" s="1"/>
  <c r="I112" i="41"/>
  <c r="F112" i="41"/>
  <c r="G112" i="41" s="1"/>
  <c r="J112" i="41" s="1"/>
  <c r="D112" i="41"/>
  <c r="L111" i="41"/>
  <c r="N111" i="41" s="1"/>
  <c r="O111" i="41" s="1"/>
  <c r="Q111" i="41" s="1"/>
  <c r="R111" i="41" s="1"/>
  <c r="D111" i="41"/>
  <c r="F111" i="41" s="1"/>
  <c r="G111" i="41" s="1"/>
  <c r="Q110" i="41"/>
  <c r="R110" i="41" s="1"/>
  <c r="N110" i="41"/>
  <c r="O110" i="41" s="1"/>
  <c r="L110" i="41"/>
  <c r="I110" i="41"/>
  <c r="F110" i="41"/>
  <c r="G110" i="41" s="1"/>
  <c r="J110" i="41" s="1"/>
  <c r="S110" i="41" s="1"/>
  <c r="T110" i="41" s="1"/>
  <c r="D110" i="41"/>
  <c r="Q109" i="41"/>
  <c r="R109" i="41" s="1"/>
  <c r="N109" i="41"/>
  <c r="O109" i="41" s="1"/>
  <c r="L109" i="41"/>
  <c r="J109" i="41"/>
  <c r="I109" i="41"/>
  <c r="G109" i="41"/>
  <c r="D109" i="41"/>
  <c r="F109" i="41" s="1"/>
  <c r="L108" i="41"/>
  <c r="N108" i="41" s="1"/>
  <c r="O108" i="41" s="1"/>
  <c r="Q108" i="41" s="1"/>
  <c r="R108" i="41" s="1"/>
  <c r="G108" i="41"/>
  <c r="I108" i="41" s="1"/>
  <c r="F108" i="41"/>
  <c r="D108" i="41"/>
  <c r="L107" i="41"/>
  <c r="N107" i="41" s="1"/>
  <c r="O107" i="41" s="1"/>
  <c r="Q107" i="41" s="1"/>
  <c r="R107" i="41" s="1"/>
  <c r="D107" i="41"/>
  <c r="F107" i="41" s="1"/>
  <c r="G107" i="41" s="1"/>
  <c r="L106" i="41"/>
  <c r="N106" i="41" s="1"/>
  <c r="O106" i="41" s="1"/>
  <c r="Q106" i="41" s="1"/>
  <c r="R106" i="41" s="1"/>
  <c r="F106" i="41"/>
  <c r="G106" i="41" s="1"/>
  <c r="I106" i="41" s="1"/>
  <c r="D106" i="41"/>
  <c r="R105" i="41"/>
  <c r="N105" i="41"/>
  <c r="O105" i="41" s="1"/>
  <c r="Q105" i="41" s="1"/>
  <c r="L105" i="41"/>
  <c r="F105" i="41"/>
  <c r="G105" i="41" s="1"/>
  <c r="D105" i="41"/>
  <c r="N104" i="41"/>
  <c r="O104" i="41" s="1"/>
  <c r="Q104" i="41" s="1"/>
  <c r="R104" i="41" s="1"/>
  <c r="L104" i="41"/>
  <c r="D104" i="41"/>
  <c r="F104" i="41" s="1"/>
  <c r="G104" i="41" s="1"/>
  <c r="N103" i="41"/>
  <c r="O103" i="41" s="1"/>
  <c r="Q103" i="41" s="1"/>
  <c r="R103" i="41" s="1"/>
  <c r="L103" i="41"/>
  <c r="D103" i="41"/>
  <c r="F103" i="41" s="1"/>
  <c r="G103" i="41" s="1"/>
  <c r="Q102" i="41"/>
  <c r="R102" i="41" s="1"/>
  <c r="N102" i="41"/>
  <c r="O102" i="41" s="1"/>
  <c r="L102" i="41"/>
  <c r="F102" i="41"/>
  <c r="G102" i="41" s="1"/>
  <c r="D102" i="41"/>
  <c r="N101" i="41"/>
  <c r="O101" i="41" s="1"/>
  <c r="Q101" i="41" s="1"/>
  <c r="R101" i="41" s="1"/>
  <c r="L101" i="41"/>
  <c r="D101" i="41"/>
  <c r="F101" i="41" s="1"/>
  <c r="G101" i="41" s="1"/>
  <c r="Q100" i="41"/>
  <c r="R100" i="41" s="1"/>
  <c r="N100" i="41"/>
  <c r="O100" i="41" s="1"/>
  <c r="L100" i="41"/>
  <c r="D100" i="41"/>
  <c r="F100" i="41" s="1"/>
  <c r="G100" i="41" s="1"/>
  <c r="Q99" i="41"/>
  <c r="R99" i="41" s="1"/>
  <c r="N99" i="41"/>
  <c r="O99" i="41" s="1"/>
  <c r="L99" i="41"/>
  <c r="F99" i="41"/>
  <c r="G99" i="41" s="1"/>
  <c r="D99" i="41"/>
  <c r="N98" i="41"/>
  <c r="O98" i="41" s="1"/>
  <c r="Q98" i="41" s="1"/>
  <c r="R98" i="41" s="1"/>
  <c r="L98" i="41"/>
  <c r="D98" i="41"/>
  <c r="F98" i="41" s="1"/>
  <c r="G98" i="41" s="1"/>
  <c r="N97" i="41"/>
  <c r="O97" i="41" s="1"/>
  <c r="Q97" i="41" s="1"/>
  <c r="R97" i="41" s="1"/>
  <c r="L97" i="41"/>
  <c r="D97" i="41"/>
  <c r="F97" i="41" s="1"/>
  <c r="G97" i="41" s="1"/>
  <c r="Q96" i="41"/>
  <c r="R96" i="41" s="1"/>
  <c r="N96" i="41"/>
  <c r="O96" i="41" s="1"/>
  <c r="L96" i="41"/>
  <c r="F96" i="41"/>
  <c r="G96" i="41" s="1"/>
  <c r="D96" i="41"/>
  <c r="N95" i="41"/>
  <c r="O95" i="41" s="1"/>
  <c r="Q95" i="41" s="1"/>
  <c r="R95" i="41" s="1"/>
  <c r="L95" i="41"/>
  <c r="D95" i="41"/>
  <c r="F95" i="41" s="1"/>
  <c r="G95" i="41" s="1"/>
  <c r="Q94" i="41"/>
  <c r="R94" i="41" s="1"/>
  <c r="N94" i="41"/>
  <c r="O94" i="41" s="1"/>
  <c r="L94" i="41"/>
  <c r="D94" i="41"/>
  <c r="F94" i="41" s="1"/>
  <c r="G94" i="41" s="1"/>
  <c r="Q93" i="41"/>
  <c r="R93" i="41" s="1"/>
  <c r="N93" i="41"/>
  <c r="O93" i="41" s="1"/>
  <c r="L93" i="41"/>
  <c r="F93" i="41"/>
  <c r="G93" i="41" s="1"/>
  <c r="D93" i="41"/>
  <c r="N92" i="41"/>
  <c r="O92" i="41" s="1"/>
  <c r="Q92" i="41" s="1"/>
  <c r="R92" i="41" s="1"/>
  <c r="L92" i="41"/>
  <c r="D92" i="41"/>
  <c r="F92" i="41" s="1"/>
  <c r="G92" i="41" s="1"/>
  <c r="N91" i="41"/>
  <c r="O91" i="41" s="1"/>
  <c r="Q91" i="41" s="1"/>
  <c r="R91" i="41" s="1"/>
  <c r="L91" i="41"/>
  <c r="D91" i="41"/>
  <c r="F91" i="41" s="1"/>
  <c r="G91" i="41" s="1"/>
  <c r="Q90" i="41"/>
  <c r="R90" i="41" s="1"/>
  <c r="N90" i="41"/>
  <c r="O90" i="41" s="1"/>
  <c r="L90" i="41"/>
  <c r="F90" i="41"/>
  <c r="G90" i="41" s="1"/>
  <c r="D90" i="41"/>
  <c r="N89" i="41"/>
  <c r="O89" i="41" s="1"/>
  <c r="Q89" i="41" s="1"/>
  <c r="R89" i="41" s="1"/>
  <c r="L89" i="41"/>
  <c r="D89" i="41"/>
  <c r="F89" i="41" s="1"/>
  <c r="G89" i="41" s="1"/>
  <c r="R88" i="41"/>
  <c r="N88" i="41"/>
  <c r="O88" i="41" s="1"/>
  <c r="Q88" i="41" s="1"/>
  <c r="L88" i="41"/>
  <c r="D88" i="41"/>
  <c r="F88" i="41" s="1"/>
  <c r="G88" i="41" s="1"/>
  <c r="R87" i="41"/>
  <c r="Q87" i="41"/>
  <c r="N87" i="41"/>
  <c r="O87" i="41" s="1"/>
  <c r="L87" i="41"/>
  <c r="F87" i="41"/>
  <c r="G87" i="41" s="1"/>
  <c r="J87" i="41" s="1"/>
  <c r="D87" i="41"/>
  <c r="Q86" i="41"/>
  <c r="R86" i="41" s="1"/>
  <c r="N86" i="41"/>
  <c r="O86" i="41" s="1"/>
  <c r="L86" i="41"/>
  <c r="J86" i="41"/>
  <c r="S86" i="41" s="1"/>
  <c r="T86" i="41" s="1"/>
  <c r="I86" i="41"/>
  <c r="D86" i="41"/>
  <c r="F86" i="41" s="1"/>
  <c r="G86" i="41" s="1"/>
  <c r="N85" i="41"/>
  <c r="O85" i="41" s="1"/>
  <c r="Q85" i="41" s="1"/>
  <c r="R85" i="41" s="1"/>
  <c r="L85" i="41"/>
  <c r="G85" i="41"/>
  <c r="F85" i="41"/>
  <c r="D85" i="41"/>
  <c r="Q84" i="41"/>
  <c r="R84" i="41" s="1"/>
  <c r="N84" i="41"/>
  <c r="O84" i="41" s="1"/>
  <c r="L84" i="41"/>
  <c r="F84" i="41"/>
  <c r="G84" i="41" s="1"/>
  <c r="D84" i="41"/>
  <c r="N83" i="41"/>
  <c r="O83" i="41" s="1"/>
  <c r="Q83" i="41" s="1"/>
  <c r="R83" i="41" s="1"/>
  <c r="L83" i="41"/>
  <c r="J83" i="41"/>
  <c r="I83" i="41"/>
  <c r="F83" i="41"/>
  <c r="G83" i="41" s="1"/>
  <c r="D83" i="41"/>
  <c r="N82" i="41"/>
  <c r="O82" i="41" s="1"/>
  <c r="Q82" i="41" s="1"/>
  <c r="R82" i="41" s="1"/>
  <c r="L82" i="41"/>
  <c r="D82" i="41"/>
  <c r="F82" i="41" s="1"/>
  <c r="G82" i="41" s="1"/>
  <c r="Q81" i="41"/>
  <c r="R81" i="41" s="1"/>
  <c r="N81" i="41"/>
  <c r="O81" i="41" s="1"/>
  <c r="L81" i="41"/>
  <c r="G81" i="41"/>
  <c r="F81" i="41"/>
  <c r="D81" i="41"/>
  <c r="N80" i="41"/>
  <c r="O80" i="41" s="1"/>
  <c r="Q80" i="41" s="1"/>
  <c r="R80" i="41" s="1"/>
  <c r="L80" i="41"/>
  <c r="D80" i="41"/>
  <c r="F80" i="41" s="1"/>
  <c r="G80" i="41" s="1"/>
  <c r="R79" i="41"/>
  <c r="Q79" i="41"/>
  <c r="N79" i="41"/>
  <c r="O79" i="41" s="1"/>
  <c r="L79" i="41"/>
  <c r="D79" i="41"/>
  <c r="F79" i="41" s="1"/>
  <c r="G79" i="41" s="1"/>
  <c r="Q78" i="41"/>
  <c r="R78" i="41" s="1"/>
  <c r="N78" i="41"/>
  <c r="O78" i="41" s="1"/>
  <c r="L78" i="41"/>
  <c r="F78" i="41"/>
  <c r="G78" i="41" s="1"/>
  <c r="D78" i="41"/>
  <c r="N77" i="41"/>
  <c r="O77" i="41" s="1"/>
  <c r="Q77" i="41" s="1"/>
  <c r="R77" i="41" s="1"/>
  <c r="L77" i="41"/>
  <c r="D77" i="41"/>
  <c r="F77" i="41" s="1"/>
  <c r="G77" i="41" s="1"/>
  <c r="R76" i="41"/>
  <c r="N76" i="41"/>
  <c r="O76" i="41" s="1"/>
  <c r="Q76" i="41" s="1"/>
  <c r="L76" i="41"/>
  <c r="D76" i="41"/>
  <c r="F76" i="41" s="1"/>
  <c r="G76" i="41" s="1"/>
  <c r="R75" i="41"/>
  <c r="Q75" i="41"/>
  <c r="N75" i="41"/>
  <c r="O75" i="41" s="1"/>
  <c r="L75" i="41"/>
  <c r="F75" i="41"/>
  <c r="G75" i="41" s="1"/>
  <c r="D75" i="41"/>
  <c r="N74" i="41"/>
  <c r="O74" i="41" s="1"/>
  <c r="Q74" i="41" s="1"/>
  <c r="R74" i="41" s="1"/>
  <c r="S74" i="41" s="1"/>
  <c r="T74" i="41" s="1"/>
  <c r="L74" i="41"/>
  <c r="J74" i="41"/>
  <c r="I74" i="41"/>
  <c r="D74" i="41"/>
  <c r="F74" i="41" s="1"/>
  <c r="G74" i="41" s="1"/>
  <c r="N73" i="41"/>
  <c r="O73" i="41" s="1"/>
  <c r="Q73" i="41" s="1"/>
  <c r="R73" i="41" s="1"/>
  <c r="L73" i="41"/>
  <c r="G73" i="41"/>
  <c r="F73" i="41"/>
  <c r="D73" i="41"/>
  <c r="Q72" i="41"/>
  <c r="R72" i="41" s="1"/>
  <c r="N72" i="41"/>
  <c r="O72" i="41" s="1"/>
  <c r="L72" i="41"/>
  <c r="F72" i="41"/>
  <c r="G72" i="41" s="1"/>
  <c r="D72" i="41"/>
  <c r="N71" i="41"/>
  <c r="O71" i="41" s="1"/>
  <c r="Q71" i="41" s="1"/>
  <c r="R71" i="41" s="1"/>
  <c r="L71" i="41"/>
  <c r="F71" i="41"/>
  <c r="G71" i="41" s="1"/>
  <c r="I71" i="41" s="1"/>
  <c r="D71" i="41"/>
  <c r="R70" i="41"/>
  <c r="N70" i="41"/>
  <c r="O70" i="41" s="1"/>
  <c r="Q70" i="41" s="1"/>
  <c r="L70" i="41"/>
  <c r="G70" i="41"/>
  <c r="I70" i="41" s="1"/>
  <c r="D70" i="41"/>
  <c r="F70" i="41" s="1"/>
  <c r="Q69" i="41"/>
  <c r="R69" i="41" s="1"/>
  <c r="N69" i="41"/>
  <c r="O69" i="41" s="1"/>
  <c r="L69" i="41"/>
  <c r="G69" i="41"/>
  <c r="F69" i="41"/>
  <c r="D69" i="41"/>
  <c r="N68" i="41"/>
  <c r="O68" i="41" s="1"/>
  <c r="Q68" i="41" s="1"/>
  <c r="R68" i="41" s="1"/>
  <c r="L68" i="41"/>
  <c r="F68" i="41"/>
  <c r="G68" i="41" s="1"/>
  <c r="J68" i="41" s="1"/>
  <c r="D68" i="41"/>
  <c r="R67" i="41"/>
  <c r="Q67" i="41"/>
  <c r="N67" i="41"/>
  <c r="O67" i="41" s="1"/>
  <c r="L67" i="41"/>
  <c r="D67" i="41"/>
  <c r="F67" i="41" s="1"/>
  <c r="G67" i="41" s="1"/>
  <c r="Q66" i="41"/>
  <c r="R66" i="41" s="1"/>
  <c r="N66" i="41"/>
  <c r="O66" i="41" s="1"/>
  <c r="L66" i="41"/>
  <c r="F66" i="41"/>
  <c r="G66" i="41" s="1"/>
  <c r="D66" i="41"/>
  <c r="N65" i="41"/>
  <c r="O65" i="41" s="1"/>
  <c r="Q65" i="41" s="1"/>
  <c r="R65" i="41" s="1"/>
  <c r="L65" i="41"/>
  <c r="D65" i="41"/>
  <c r="F65" i="41" s="1"/>
  <c r="G65" i="41" s="1"/>
  <c r="J65" i="41" s="1"/>
  <c r="N64" i="41"/>
  <c r="O64" i="41" s="1"/>
  <c r="Q64" i="41" s="1"/>
  <c r="R64" i="41" s="1"/>
  <c r="L64" i="41"/>
  <c r="G64" i="41"/>
  <c r="D64" i="41"/>
  <c r="F64" i="41" s="1"/>
  <c r="Q63" i="41"/>
  <c r="R63" i="41" s="1"/>
  <c r="N63" i="41"/>
  <c r="O63" i="41" s="1"/>
  <c r="L63" i="41"/>
  <c r="F63" i="41"/>
  <c r="G63" i="41" s="1"/>
  <c r="D63" i="41"/>
  <c r="Q62" i="41"/>
  <c r="R62" i="41" s="1"/>
  <c r="N62" i="41"/>
  <c r="O62" i="41" s="1"/>
  <c r="L62" i="41"/>
  <c r="D62" i="41"/>
  <c r="F62" i="41" s="1"/>
  <c r="G62" i="41" s="1"/>
  <c r="R61" i="41"/>
  <c r="N61" i="41"/>
  <c r="O61" i="41" s="1"/>
  <c r="Q61" i="41" s="1"/>
  <c r="L61" i="41"/>
  <c r="I61" i="41"/>
  <c r="G61" i="41"/>
  <c r="F61" i="41"/>
  <c r="D61" i="41"/>
  <c r="R60" i="41"/>
  <c r="Q60" i="41"/>
  <c r="N60" i="41"/>
  <c r="O60" i="41" s="1"/>
  <c r="L60" i="41"/>
  <c r="F60" i="41"/>
  <c r="G60" i="41" s="1"/>
  <c r="D60" i="41"/>
  <c r="N59" i="41"/>
  <c r="O59" i="41" s="1"/>
  <c r="Q59" i="41" s="1"/>
  <c r="R59" i="41" s="1"/>
  <c r="L59" i="41"/>
  <c r="D59" i="41"/>
  <c r="F59" i="41" s="1"/>
  <c r="G59" i="41" s="1"/>
  <c r="R58" i="41"/>
  <c r="N58" i="41"/>
  <c r="O58" i="41" s="1"/>
  <c r="Q58" i="41" s="1"/>
  <c r="L58" i="41"/>
  <c r="D58" i="41"/>
  <c r="F58" i="41" s="1"/>
  <c r="G58" i="41" s="1"/>
  <c r="Q57" i="41"/>
  <c r="R57" i="41" s="1"/>
  <c r="N57" i="41"/>
  <c r="O57" i="41" s="1"/>
  <c r="L57" i="41"/>
  <c r="F57" i="41"/>
  <c r="G57" i="41" s="1"/>
  <c r="D57" i="41"/>
  <c r="S56" i="41"/>
  <c r="T56" i="41" s="1"/>
  <c r="N56" i="41"/>
  <c r="O56" i="41" s="1"/>
  <c r="Q56" i="41" s="1"/>
  <c r="R56" i="41" s="1"/>
  <c r="L56" i="41"/>
  <c r="J56" i="41"/>
  <c r="I56" i="41"/>
  <c r="F56" i="41"/>
  <c r="G56" i="41" s="1"/>
  <c r="D56" i="41"/>
  <c r="N55" i="41"/>
  <c r="O55" i="41" s="1"/>
  <c r="Q55" i="41" s="1"/>
  <c r="R55" i="41" s="1"/>
  <c r="L55" i="41"/>
  <c r="D55" i="41"/>
  <c r="F55" i="41" s="1"/>
  <c r="G55" i="41" s="1"/>
  <c r="N54" i="41"/>
  <c r="O54" i="41" s="1"/>
  <c r="Q54" i="41" s="1"/>
  <c r="R54" i="41" s="1"/>
  <c r="L54" i="41"/>
  <c r="F54" i="41"/>
  <c r="G54" i="41" s="1"/>
  <c r="D54" i="41"/>
  <c r="R53" i="41"/>
  <c r="N53" i="41"/>
  <c r="O53" i="41" s="1"/>
  <c r="Q53" i="41" s="1"/>
  <c r="L53" i="41"/>
  <c r="F53" i="41"/>
  <c r="G53" i="41" s="1"/>
  <c r="I53" i="41" s="1"/>
  <c r="J53" i="41" s="1"/>
  <c r="S53" i="41" s="1"/>
  <c r="T53" i="41" s="1"/>
  <c r="D53" i="41"/>
  <c r="N52" i="41"/>
  <c r="O52" i="41" s="1"/>
  <c r="Q52" i="41" s="1"/>
  <c r="R52" i="41" s="1"/>
  <c r="L52" i="41"/>
  <c r="D52" i="41"/>
  <c r="F52" i="41" s="1"/>
  <c r="G52" i="41" s="1"/>
  <c r="N51" i="41"/>
  <c r="O51" i="41" s="1"/>
  <c r="Q51" i="41" s="1"/>
  <c r="R51" i="41" s="1"/>
  <c r="L51" i="41"/>
  <c r="F51" i="41"/>
  <c r="G51" i="41" s="1"/>
  <c r="D51" i="41"/>
  <c r="R50" i="41"/>
  <c r="N50" i="41"/>
  <c r="O50" i="41" s="1"/>
  <c r="Q50" i="41" s="1"/>
  <c r="L50" i="41"/>
  <c r="F50" i="41"/>
  <c r="G50" i="41" s="1"/>
  <c r="I50" i="41" s="1"/>
  <c r="J50" i="41" s="1"/>
  <c r="S50" i="41" s="1"/>
  <c r="T50" i="41" s="1"/>
  <c r="D50" i="41"/>
  <c r="N49" i="41"/>
  <c r="O49" i="41" s="1"/>
  <c r="Q49" i="41" s="1"/>
  <c r="R49" i="41" s="1"/>
  <c r="L49" i="41"/>
  <c r="D49" i="41"/>
  <c r="F49" i="41" s="1"/>
  <c r="G49" i="41" s="1"/>
  <c r="N48" i="41"/>
  <c r="O48" i="41" s="1"/>
  <c r="Q48" i="41" s="1"/>
  <c r="R48" i="41" s="1"/>
  <c r="L48" i="41"/>
  <c r="F48" i="41"/>
  <c r="G48" i="41" s="1"/>
  <c r="D48" i="41"/>
  <c r="R47" i="41"/>
  <c r="N47" i="41"/>
  <c r="O47" i="41" s="1"/>
  <c r="Q47" i="41" s="1"/>
  <c r="L47" i="41"/>
  <c r="F47" i="41"/>
  <c r="G47" i="41" s="1"/>
  <c r="I47" i="41" s="1"/>
  <c r="J47" i="41" s="1"/>
  <c r="S47" i="41" s="1"/>
  <c r="T47" i="41" s="1"/>
  <c r="D47" i="41"/>
  <c r="N46" i="41"/>
  <c r="O46" i="41" s="1"/>
  <c r="Q46" i="41" s="1"/>
  <c r="R46" i="41" s="1"/>
  <c r="L46" i="41"/>
  <c r="D46" i="41"/>
  <c r="F46" i="41" s="1"/>
  <c r="G46" i="41" s="1"/>
  <c r="Q45" i="41"/>
  <c r="R45" i="41" s="1"/>
  <c r="N45" i="41"/>
  <c r="O45" i="41" s="1"/>
  <c r="L45" i="41"/>
  <c r="D45" i="41"/>
  <c r="F45" i="41" s="1"/>
  <c r="G45" i="41" s="1"/>
  <c r="N44" i="41"/>
  <c r="O44" i="41" s="1"/>
  <c r="Q44" i="41" s="1"/>
  <c r="R44" i="41" s="1"/>
  <c r="L44" i="41"/>
  <c r="D44" i="41"/>
  <c r="F44" i="41" s="1"/>
  <c r="G44" i="41" s="1"/>
  <c r="N43" i="41"/>
  <c r="O43" i="41" s="1"/>
  <c r="Q43" i="41" s="1"/>
  <c r="R43" i="41" s="1"/>
  <c r="L43" i="41"/>
  <c r="D43" i="41"/>
  <c r="F43" i="41" s="1"/>
  <c r="G43" i="41" s="1"/>
  <c r="N42" i="41"/>
  <c r="O42" i="41" s="1"/>
  <c r="Q42" i="41" s="1"/>
  <c r="R42" i="41" s="1"/>
  <c r="L42" i="41"/>
  <c r="D42" i="41"/>
  <c r="F42" i="41" s="1"/>
  <c r="G42" i="41" s="1"/>
  <c r="Q41" i="41"/>
  <c r="R41" i="41" s="1"/>
  <c r="N41" i="41"/>
  <c r="O41" i="41" s="1"/>
  <c r="L41" i="41"/>
  <c r="D41" i="41"/>
  <c r="F41" i="41" s="1"/>
  <c r="G41" i="41" s="1"/>
  <c r="N40" i="41"/>
  <c r="O40" i="41" s="1"/>
  <c r="Q40" i="41" s="1"/>
  <c r="R40" i="41" s="1"/>
  <c r="L40" i="41"/>
  <c r="D40" i="41"/>
  <c r="F40" i="41" s="1"/>
  <c r="G40" i="41" s="1"/>
  <c r="N39" i="41"/>
  <c r="O39" i="41" s="1"/>
  <c r="Q39" i="41" s="1"/>
  <c r="R39" i="41" s="1"/>
  <c r="L39" i="41"/>
  <c r="D39" i="41"/>
  <c r="F39" i="41" s="1"/>
  <c r="G39" i="41" s="1"/>
  <c r="N38" i="41"/>
  <c r="O38" i="41" s="1"/>
  <c r="Q38" i="41" s="1"/>
  <c r="R38" i="41" s="1"/>
  <c r="L38" i="41"/>
  <c r="D38" i="41"/>
  <c r="F38" i="41" s="1"/>
  <c r="G38" i="41" s="1"/>
  <c r="Q37" i="41"/>
  <c r="R37" i="41" s="1"/>
  <c r="N37" i="41"/>
  <c r="O37" i="41" s="1"/>
  <c r="L37" i="41"/>
  <c r="D37" i="41"/>
  <c r="F37" i="41" s="1"/>
  <c r="G37" i="41" s="1"/>
  <c r="N36" i="41"/>
  <c r="O36" i="41" s="1"/>
  <c r="Q36" i="41" s="1"/>
  <c r="R36" i="41" s="1"/>
  <c r="L36" i="41"/>
  <c r="D36" i="41"/>
  <c r="F36" i="41" s="1"/>
  <c r="G36" i="41" s="1"/>
  <c r="N35" i="41"/>
  <c r="O35" i="41" s="1"/>
  <c r="Q35" i="41" s="1"/>
  <c r="R35" i="41" s="1"/>
  <c r="L35" i="41"/>
  <c r="D35" i="41"/>
  <c r="F35" i="41" s="1"/>
  <c r="G35" i="41" s="1"/>
  <c r="N34" i="41"/>
  <c r="O34" i="41" s="1"/>
  <c r="Q34" i="41" s="1"/>
  <c r="R34" i="41" s="1"/>
  <c r="L34" i="41"/>
  <c r="D34" i="41"/>
  <c r="F34" i="41" s="1"/>
  <c r="G34" i="41" s="1"/>
  <c r="Q33" i="41"/>
  <c r="R33" i="41" s="1"/>
  <c r="N33" i="41"/>
  <c r="O33" i="41" s="1"/>
  <c r="L33" i="41"/>
  <c r="D33" i="41"/>
  <c r="F33" i="41" s="1"/>
  <c r="G33" i="41" s="1"/>
  <c r="N32" i="41"/>
  <c r="O32" i="41" s="1"/>
  <c r="Q32" i="41" s="1"/>
  <c r="R32" i="41" s="1"/>
  <c r="L32" i="41"/>
  <c r="D32" i="41"/>
  <c r="F32" i="41" s="1"/>
  <c r="G32" i="41" s="1"/>
  <c r="N31" i="41"/>
  <c r="O31" i="41" s="1"/>
  <c r="Q31" i="41" s="1"/>
  <c r="R31" i="41" s="1"/>
  <c r="L31" i="41"/>
  <c r="D31" i="41"/>
  <c r="F31" i="41" s="1"/>
  <c r="G31" i="41" s="1"/>
  <c r="N30" i="41"/>
  <c r="O30" i="41" s="1"/>
  <c r="Q30" i="41" s="1"/>
  <c r="R30" i="41" s="1"/>
  <c r="L30" i="41"/>
  <c r="D30" i="41"/>
  <c r="F30" i="41" s="1"/>
  <c r="G30" i="41" s="1"/>
  <c r="Q29" i="41"/>
  <c r="R29" i="41" s="1"/>
  <c r="N29" i="41"/>
  <c r="O29" i="41" s="1"/>
  <c r="L29" i="41"/>
  <c r="D29" i="41"/>
  <c r="F29" i="41" s="1"/>
  <c r="G29" i="41" s="1"/>
  <c r="N28" i="41"/>
  <c r="O28" i="41" s="1"/>
  <c r="Q28" i="41" s="1"/>
  <c r="R28" i="41" s="1"/>
  <c r="L28" i="41"/>
  <c r="D28" i="41"/>
  <c r="F28" i="41" s="1"/>
  <c r="G28" i="41" s="1"/>
  <c r="N27" i="41"/>
  <c r="O27" i="41" s="1"/>
  <c r="Q27" i="41" s="1"/>
  <c r="R27" i="41" s="1"/>
  <c r="L27" i="41"/>
  <c r="D27" i="41"/>
  <c r="F27" i="41" s="1"/>
  <c r="G27" i="41" s="1"/>
  <c r="N26" i="41"/>
  <c r="O26" i="41" s="1"/>
  <c r="Q26" i="41" s="1"/>
  <c r="R26" i="41" s="1"/>
  <c r="L26" i="41"/>
  <c r="D26" i="41"/>
  <c r="F26" i="41" s="1"/>
  <c r="G26" i="41" s="1"/>
  <c r="Q25" i="41"/>
  <c r="R25" i="41" s="1"/>
  <c r="N25" i="41"/>
  <c r="O25" i="41" s="1"/>
  <c r="L25" i="41"/>
  <c r="D25" i="41"/>
  <c r="F25" i="41" s="1"/>
  <c r="G25" i="41" s="1"/>
  <c r="N24" i="41"/>
  <c r="O24" i="41" s="1"/>
  <c r="Q24" i="41" s="1"/>
  <c r="R24" i="41" s="1"/>
  <c r="L24" i="41"/>
  <c r="D24" i="41"/>
  <c r="F24" i="41" s="1"/>
  <c r="G24" i="41" s="1"/>
  <c r="N23" i="41"/>
  <c r="O23" i="41" s="1"/>
  <c r="Q23" i="41" s="1"/>
  <c r="R23" i="41" s="1"/>
  <c r="L23" i="41"/>
  <c r="D23" i="41"/>
  <c r="F23" i="41" s="1"/>
  <c r="G23" i="41" s="1"/>
  <c r="N22" i="41"/>
  <c r="O22" i="41" s="1"/>
  <c r="Q22" i="41" s="1"/>
  <c r="R22" i="41" s="1"/>
  <c r="L22" i="41"/>
  <c r="D22" i="41"/>
  <c r="F22" i="41" s="1"/>
  <c r="G22" i="41" s="1"/>
  <c r="Q21" i="41"/>
  <c r="R21" i="41" s="1"/>
  <c r="N21" i="41"/>
  <c r="O21" i="41" s="1"/>
  <c r="L21" i="41"/>
  <c r="D21" i="41"/>
  <c r="F21" i="41" s="1"/>
  <c r="G21" i="41" s="1"/>
  <c r="N20" i="41"/>
  <c r="O20" i="41" s="1"/>
  <c r="Q20" i="41" s="1"/>
  <c r="R20" i="41" s="1"/>
  <c r="L20" i="41"/>
  <c r="D20" i="41"/>
  <c r="F20" i="41" s="1"/>
  <c r="G20" i="41" s="1"/>
  <c r="N19" i="41"/>
  <c r="O19" i="41" s="1"/>
  <c r="Q19" i="41" s="1"/>
  <c r="R19" i="41" s="1"/>
  <c r="L19" i="41"/>
  <c r="D19" i="41"/>
  <c r="F19" i="41" s="1"/>
  <c r="G19" i="41" s="1"/>
  <c r="N18" i="41"/>
  <c r="O18" i="41" s="1"/>
  <c r="Q18" i="41" s="1"/>
  <c r="R18" i="41" s="1"/>
  <c r="L18" i="41"/>
  <c r="D18" i="41"/>
  <c r="F18" i="41" s="1"/>
  <c r="G18" i="41" s="1"/>
  <c r="R17" i="41"/>
  <c r="Q17" i="41"/>
  <c r="N17" i="41"/>
  <c r="O17" i="41" s="1"/>
  <c r="L17" i="41"/>
  <c r="D17" i="41"/>
  <c r="F17" i="41" s="1"/>
  <c r="G17" i="41" s="1"/>
  <c r="N16" i="41"/>
  <c r="O16" i="41" s="1"/>
  <c r="Q16" i="41" s="1"/>
  <c r="R16" i="41" s="1"/>
  <c r="L16" i="41"/>
  <c r="F16" i="41"/>
  <c r="G16" i="41" s="1"/>
  <c r="D16" i="41"/>
  <c r="N15" i="41"/>
  <c r="O15" i="41" s="1"/>
  <c r="Q15" i="41" s="1"/>
  <c r="R15" i="41" s="1"/>
  <c r="L15" i="41"/>
  <c r="D15" i="41"/>
  <c r="F15" i="41" s="1"/>
  <c r="G15" i="41" s="1"/>
  <c r="Q14" i="41"/>
  <c r="R14" i="41" s="1"/>
  <c r="N14" i="41"/>
  <c r="O14" i="41" s="1"/>
  <c r="L14" i="41"/>
  <c r="J14" i="41"/>
  <c r="F14" i="41"/>
  <c r="G14" i="41" s="1"/>
  <c r="I14" i="41" s="1"/>
  <c r="D14" i="41"/>
  <c r="N13" i="41"/>
  <c r="O13" i="41" s="1"/>
  <c r="Q13" i="41" s="1"/>
  <c r="R13" i="41" s="1"/>
  <c r="L13" i="41"/>
  <c r="F13" i="41"/>
  <c r="G13" i="41" s="1"/>
  <c r="I13" i="41" s="1"/>
  <c r="D13" i="41"/>
  <c r="N12" i="41"/>
  <c r="O12" i="41" s="1"/>
  <c r="Q12" i="41" s="1"/>
  <c r="R12" i="41" s="1"/>
  <c r="L12" i="41"/>
  <c r="D12" i="41"/>
  <c r="F12" i="41" s="1"/>
  <c r="G12" i="41" s="1"/>
  <c r="R11" i="41"/>
  <c r="Q11" i="41"/>
  <c r="N11" i="41"/>
  <c r="O11" i="41" s="1"/>
  <c r="L11" i="41"/>
  <c r="D11" i="41"/>
  <c r="F11" i="41" s="1"/>
  <c r="G11" i="41" s="1"/>
  <c r="N10" i="41"/>
  <c r="O10" i="41" s="1"/>
  <c r="Q10" i="41" s="1"/>
  <c r="R10" i="41" s="1"/>
  <c r="L10" i="41"/>
  <c r="F10" i="41"/>
  <c r="G10" i="41" s="1"/>
  <c r="I10" i="41" s="1"/>
  <c r="D10" i="41"/>
  <c r="N9" i="41"/>
  <c r="O9" i="41" s="1"/>
  <c r="Q9" i="41" s="1"/>
  <c r="R9" i="41" s="1"/>
  <c r="L9" i="41"/>
  <c r="D9" i="41"/>
  <c r="F9" i="41" s="1"/>
  <c r="G9" i="41" s="1"/>
  <c r="Q8" i="41"/>
  <c r="R8" i="41" s="1"/>
  <c r="N8" i="41"/>
  <c r="O8" i="41" s="1"/>
  <c r="L8" i="41"/>
  <c r="F8" i="41"/>
  <c r="G8" i="41" s="1"/>
  <c r="I8" i="41" s="1"/>
  <c r="J8" i="41" s="1"/>
  <c r="D8" i="41"/>
  <c r="N7" i="41"/>
  <c r="O7" i="41" s="1"/>
  <c r="Q7" i="41" s="1"/>
  <c r="R7" i="41" s="1"/>
  <c r="L7" i="41"/>
  <c r="F7" i="41"/>
  <c r="G7" i="41" s="1"/>
  <c r="I7" i="41" s="1"/>
  <c r="D7" i="41"/>
  <c r="N6" i="41"/>
  <c r="O6" i="41" s="1"/>
  <c r="Q6" i="41" s="1"/>
  <c r="R6" i="41" s="1"/>
  <c r="L6" i="41"/>
  <c r="D6" i="41"/>
  <c r="F6" i="41" s="1"/>
  <c r="G6" i="41" s="1"/>
  <c r="R5" i="41"/>
  <c r="Q5" i="41"/>
  <c r="N5" i="41"/>
  <c r="O5" i="41" s="1"/>
  <c r="L5" i="41"/>
  <c r="D5" i="41"/>
  <c r="F5" i="41" s="1"/>
  <c r="G5" i="41" s="1"/>
  <c r="N4" i="41"/>
  <c r="O4" i="41" s="1"/>
  <c r="Q4" i="41" s="1"/>
  <c r="R4" i="41" s="1"/>
  <c r="L4" i="41"/>
  <c r="F4" i="41"/>
  <c r="G4" i="41" s="1"/>
  <c r="I4" i="41" s="1"/>
  <c r="D4" i="41"/>
  <c r="L80" i="40"/>
  <c r="G80" i="40"/>
  <c r="D80" i="40"/>
  <c r="F80" i="40" s="1"/>
  <c r="L79" i="40"/>
  <c r="D79" i="40"/>
  <c r="L78" i="40"/>
  <c r="D78" i="40"/>
  <c r="L77" i="40"/>
  <c r="O77" i="40" s="1"/>
  <c r="R77" i="40" s="1"/>
  <c r="G77" i="40"/>
  <c r="F77" i="40"/>
  <c r="D77" i="40"/>
  <c r="L76" i="40"/>
  <c r="D76" i="40"/>
  <c r="L75" i="40"/>
  <c r="D75" i="40"/>
  <c r="L74" i="40"/>
  <c r="O74" i="40" s="1"/>
  <c r="G74" i="40"/>
  <c r="F74" i="40"/>
  <c r="D74" i="40"/>
  <c r="L73" i="40"/>
  <c r="D73" i="40"/>
  <c r="L72" i="40"/>
  <c r="D72" i="40"/>
  <c r="L71" i="40"/>
  <c r="O71" i="40" s="1"/>
  <c r="G71" i="40"/>
  <c r="F71" i="40"/>
  <c r="D71" i="40"/>
  <c r="L70" i="40"/>
  <c r="D70" i="40"/>
  <c r="L69" i="40"/>
  <c r="D69" i="40"/>
  <c r="G69" i="40" s="1"/>
  <c r="L68" i="40"/>
  <c r="O68" i="40" s="1"/>
  <c r="R68" i="40" s="1"/>
  <c r="G68" i="40"/>
  <c r="F68" i="40"/>
  <c r="D68" i="40"/>
  <c r="L67" i="40"/>
  <c r="D67" i="40"/>
  <c r="L66" i="40"/>
  <c r="D66" i="40"/>
  <c r="L65" i="40"/>
  <c r="O65" i="40" s="1"/>
  <c r="R65" i="40" s="1"/>
  <c r="G65" i="40"/>
  <c r="F65" i="40"/>
  <c r="D65" i="40"/>
  <c r="L64" i="40"/>
  <c r="D64" i="40"/>
  <c r="L63" i="40"/>
  <c r="O63" i="40" s="1"/>
  <c r="G63" i="40"/>
  <c r="F63" i="40"/>
  <c r="D63" i="40"/>
  <c r="L62" i="40"/>
  <c r="D62" i="40"/>
  <c r="L61" i="40"/>
  <c r="O61" i="40" s="1"/>
  <c r="R61" i="40" s="1"/>
  <c r="D61" i="40"/>
  <c r="F61" i="40" s="1"/>
  <c r="L60" i="40"/>
  <c r="D60" i="40"/>
  <c r="L59" i="40"/>
  <c r="O59" i="40" s="1"/>
  <c r="R59" i="40" s="1"/>
  <c r="F59" i="40"/>
  <c r="D59" i="40"/>
  <c r="G59" i="40" s="1"/>
  <c r="L58" i="40"/>
  <c r="O58" i="40" s="1"/>
  <c r="G58" i="40"/>
  <c r="F58" i="40"/>
  <c r="D58" i="40"/>
  <c r="L57" i="40"/>
  <c r="D57" i="40"/>
  <c r="G57" i="40" s="1"/>
  <c r="L56" i="40"/>
  <c r="O56" i="40" s="1"/>
  <c r="R56" i="40" s="1"/>
  <c r="G56" i="40"/>
  <c r="J56" i="40" s="1"/>
  <c r="F56" i="40"/>
  <c r="D56" i="40"/>
  <c r="L55" i="40"/>
  <c r="O55" i="40" s="1"/>
  <c r="F55" i="40"/>
  <c r="D55" i="40"/>
  <c r="G55" i="40" s="1"/>
  <c r="L54" i="40"/>
  <c r="D54" i="40"/>
  <c r="G54" i="40" s="1"/>
  <c r="L53" i="40"/>
  <c r="O53" i="40" s="1"/>
  <c r="R53" i="40" s="1"/>
  <c r="G53" i="40"/>
  <c r="F53" i="40"/>
  <c r="D53" i="40"/>
  <c r="L52" i="40"/>
  <c r="O52" i="40" s="1"/>
  <c r="R52" i="40" s="1"/>
  <c r="D52" i="40"/>
  <c r="G52" i="40" s="1"/>
  <c r="L51" i="40"/>
  <c r="D51" i="40"/>
  <c r="F51" i="40" s="1"/>
  <c r="G51" i="40" s="1"/>
  <c r="L50" i="40"/>
  <c r="G50" i="40"/>
  <c r="D50" i="40"/>
  <c r="F50" i="40" s="1"/>
  <c r="L49" i="40"/>
  <c r="D49" i="40"/>
  <c r="F49" i="40" s="1"/>
  <c r="L48" i="40"/>
  <c r="D48" i="40"/>
  <c r="L47" i="40"/>
  <c r="O47" i="40" s="1"/>
  <c r="R47" i="40" s="1"/>
  <c r="F47" i="40"/>
  <c r="D47" i="40"/>
  <c r="G47" i="40" s="1"/>
  <c r="L46" i="40"/>
  <c r="O46" i="40" s="1"/>
  <c r="F46" i="40"/>
  <c r="G46" i="40" s="1"/>
  <c r="D46" i="40"/>
  <c r="L45" i="40"/>
  <c r="D45" i="40"/>
  <c r="L44" i="40"/>
  <c r="F44" i="40"/>
  <c r="G44" i="40" s="1"/>
  <c r="D44" i="40"/>
  <c r="L43" i="40"/>
  <c r="O43" i="40" s="1"/>
  <c r="R43" i="40" s="1"/>
  <c r="F43" i="40"/>
  <c r="D43" i="40"/>
  <c r="G43" i="40" s="1"/>
  <c r="L42" i="40"/>
  <c r="O42" i="40" s="1"/>
  <c r="R42" i="40" s="1"/>
  <c r="D42" i="40"/>
  <c r="L41" i="40"/>
  <c r="D41" i="40"/>
  <c r="L40" i="40"/>
  <c r="O40" i="40" s="1"/>
  <c r="R40" i="40" s="1"/>
  <c r="D40" i="40"/>
  <c r="L39" i="40"/>
  <c r="N39" i="40" s="1"/>
  <c r="Q39" i="40" s="1"/>
  <c r="D39" i="40"/>
  <c r="G39" i="40" s="1"/>
  <c r="L38" i="40"/>
  <c r="N38" i="40" s="1"/>
  <c r="Q38" i="40" s="1"/>
  <c r="D38" i="40"/>
  <c r="L37" i="40"/>
  <c r="N37" i="40" s="1"/>
  <c r="Q37" i="40" s="1"/>
  <c r="D37" i="40"/>
  <c r="G37" i="40" s="1"/>
  <c r="L36" i="40"/>
  <c r="N36" i="40" s="1"/>
  <c r="Q36" i="40" s="1"/>
  <c r="D36" i="40"/>
  <c r="O35" i="40"/>
  <c r="R35" i="40" s="1"/>
  <c r="L35" i="40"/>
  <c r="N35" i="40" s="1"/>
  <c r="Q35" i="40" s="1"/>
  <c r="D35" i="40"/>
  <c r="G35" i="40" s="1"/>
  <c r="L34" i="40"/>
  <c r="N34" i="40" s="1"/>
  <c r="Q34" i="40" s="1"/>
  <c r="D34" i="40"/>
  <c r="F34" i="40" s="1"/>
  <c r="O34" i="40" s="1"/>
  <c r="R34" i="40" s="1"/>
  <c r="O33" i="40"/>
  <c r="R33" i="40" s="1"/>
  <c r="L33" i="40"/>
  <c r="N33" i="40" s="1"/>
  <c r="Q33" i="40" s="1"/>
  <c r="D33" i="40"/>
  <c r="G33" i="40" s="1"/>
  <c r="L32" i="40"/>
  <c r="N32" i="40" s="1"/>
  <c r="Q32" i="40" s="1"/>
  <c r="F32" i="40"/>
  <c r="O32" i="40" s="1"/>
  <c r="R32" i="40" s="1"/>
  <c r="D32" i="40"/>
  <c r="L31" i="40"/>
  <c r="N31" i="40" s="1"/>
  <c r="Q31" i="40" s="1"/>
  <c r="D31" i="40"/>
  <c r="G31" i="40" s="1"/>
  <c r="L30" i="40"/>
  <c r="N30" i="40" s="1"/>
  <c r="Q30" i="40" s="1"/>
  <c r="F30" i="40"/>
  <c r="O30" i="40" s="1"/>
  <c r="R30" i="40" s="1"/>
  <c r="D30" i="40"/>
  <c r="R29" i="40"/>
  <c r="O29" i="40"/>
  <c r="L29" i="40"/>
  <c r="N29" i="40" s="1"/>
  <c r="Q29" i="40" s="1"/>
  <c r="D29" i="40"/>
  <c r="G29" i="40" s="1"/>
  <c r="L28" i="40"/>
  <c r="N28" i="40" s="1"/>
  <c r="Q28" i="40" s="1"/>
  <c r="F28" i="40"/>
  <c r="O28" i="40" s="1"/>
  <c r="D28" i="40"/>
  <c r="R27" i="40"/>
  <c r="O27" i="40"/>
  <c r="L27" i="40"/>
  <c r="N27" i="40" s="1"/>
  <c r="Q27" i="40" s="1"/>
  <c r="D27" i="40"/>
  <c r="G27" i="40" s="1"/>
  <c r="R26" i="40"/>
  <c r="O26" i="40"/>
  <c r="L26" i="40"/>
  <c r="N26" i="40" s="1"/>
  <c r="Q26" i="40" s="1"/>
  <c r="D26" i="40"/>
  <c r="G26" i="40" s="1"/>
  <c r="R25" i="40"/>
  <c r="O25" i="40"/>
  <c r="L25" i="40"/>
  <c r="N25" i="40" s="1"/>
  <c r="Q25" i="40" s="1"/>
  <c r="J25" i="40"/>
  <c r="I25" i="40"/>
  <c r="G25" i="40"/>
  <c r="F25" i="40"/>
  <c r="D25" i="40"/>
  <c r="L24" i="40"/>
  <c r="N24" i="40" s="1"/>
  <c r="Q24" i="40" s="1"/>
  <c r="D24" i="40"/>
  <c r="G24" i="40" s="1"/>
  <c r="R23" i="40"/>
  <c r="O23" i="40"/>
  <c r="L23" i="40"/>
  <c r="N23" i="40" s="1"/>
  <c r="Q23" i="40" s="1"/>
  <c r="D23" i="40"/>
  <c r="G23" i="40" s="1"/>
  <c r="L22" i="40"/>
  <c r="N22" i="40" s="1"/>
  <c r="Q22" i="40" s="1"/>
  <c r="D22" i="40"/>
  <c r="L21" i="40"/>
  <c r="N21" i="40" s="1"/>
  <c r="Q21" i="40" s="1"/>
  <c r="D21" i="40"/>
  <c r="L20" i="40"/>
  <c r="N20" i="40" s="1"/>
  <c r="Q20" i="40" s="1"/>
  <c r="D20" i="40"/>
  <c r="F20" i="40" s="1"/>
  <c r="O20" i="40" s="1"/>
  <c r="R20" i="40" s="1"/>
  <c r="L19" i="40"/>
  <c r="N19" i="40" s="1"/>
  <c r="Q19" i="40" s="1"/>
  <c r="D19" i="40"/>
  <c r="G19" i="40" s="1"/>
  <c r="L18" i="40"/>
  <c r="N18" i="40" s="1"/>
  <c r="Q18" i="40" s="1"/>
  <c r="D18" i="40"/>
  <c r="F18" i="40" s="1"/>
  <c r="R17" i="40"/>
  <c r="O17" i="40"/>
  <c r="L17" i="40"/>
  <c r="N17" i="40" s="1"/>
  <c r="Q17" i="40" s="1"/>
  <c r="D17" i="40"/>
  <c r="G17" i="40" s="1"/>
  <c r="R16" i="40"/>
  <c r="Q16" i="40"/>
  <c r="O16" i="40"/>
  <c r="L16" i="40"/>
  <c r="N16" i="40" s="1"/>
  <c r="G16" i="40"/>
  <c r="F16" i="40"/>
  <c r="D16" i="40"/>
  <c r="Q15" i="40"/>
  <c r="L15" i="40"/>
  <c r="N15" i="40" s="1"/>
  <c r="J15" i="40"/>
  <c r="I15" i="40"/>
  <c r="G15" i="40"/>
  <c r="F15" i="40"/>
  <c r="O15" i="40" s="1"/>
  <c r="R15" i="40" s="1"/>
  <c r="D15" i="40"/>
  <c r="L14" i="40"/>
  <c r="N14" i="40" s="1"/>
  <c r="Q14" i="40" s="1"/>
  <c r="F14" i="40"/>
  <c r="O14" i="40" s="1"/>
  <c r="D14" i="40"/>
  <c r="G14" i="40" s="1"/>
  <c r="L13" i="40"/>
  <c r="N13" i="40" s="1"/>
  <c r="Q13" i="40" s="1"/>
  <c r="D13" i="40"/>
  <c r="G13" i="40" s="1"/>
  <c r="R12" i="40"/>
  <c r="O12" i="40"/>
  <c r="L12" i="40"/>
  <c r="N12" i="40" s="1"/>
  <c r="Q12" i="40" s="1"/>
  <c r="G12" i="40"/>
  <c r="J12" i="40" s="1"/>
  <c r="D12" i="40"/>
  <c r="F12" i="40" s="1"/>
  <c r="L11" i="40"/>
  <c r="N11" i="40" s="1"/>
  <c r="Q11" i="40" s="1"/>
  <c r="D11" i="40"/>
  <c r="L10" i="40"/>
  <c r="N10" i="40" s="1"/>
  <c r="Q10" i="40" s="1"/>
  <c r="J10" i="40"/>
  <c r="G10" i="40"/>
  <c r="D10" i="40"/>
  <c r="F10" i="40" s="1"/>
  <c r="O10" i="40" s="1"/>
  <c r="R10" i="40" s="1"/>
  <c r="R9" i="40"/>
  <c r="Q9" i="40"/>
  <c r="O9" i="40"/>
  <c r="L9" i="40"/>
  <c r="N9" i="40" s="1"/>
  <c r="F9" i="40"/>
  <c r="G9" i="40" s="1"/>
  <c r="D9" i="40"/>
  <c r="Q8" i="40"/>
  <c r="L8" i="40"/>
  <c r="N8" i="40" s="1"/>
  <c r="F8" i="40"/>
  <c r="O8" i="40" s="1"/>
  <c r="R8" i="40" s="1"/>
  <c r="D8" i="40"/>
  <c r="R7" i="40"/>
  <c r="O7" i="40"/>
  <c r="L7" i="40"/>
  <c r="N7" i="40" s="1"/>
  <c r="Q7" i="40" s="1"/>
  <c r="D7" i="40"/>
  <c r="G7" i="40" s="1"/>
  <c r="L6" i="40"/>
  <c r="N6" i="40" s="1"/>
  <c r="Q6" i="40" s="1"/>
  <c r="D6" i="40"/>
  <c r="F6" i="40" s="1"/>
  <c r="O6" i="40" s="1"/>
  <c r="R6" i="40" s="1"/>
  <c r="R5" i="40"/>
  <c r="Q5" i="40"/>
  <c r="O5" i="40"/>
  <c r="L5" i="40"/>
  <c r="N5" i="40" s="1"/>
  <c r="D5" i="40"/>
  <c r="G5" i="40" s="1"/>
  <c r="R4" i="40"/>
  <c r="Q4" i="40"/>
  <c r="O4" i="40"/>
  <c r="L4" i="40"/>
  <c r="N4" i="40" s="1"/>
  <c r="D4" i="40"/>
  <c r="I5" i="41" l="1"/>
  <c r="J5" i="41" s="1"/>
  <c r="S5" i="41" s="1"/>
  <c r="T5" i="41" s="1"/>
  <c r="I24" i="41"/>
  <c r="J24" i="41" s="1"/>
  <c r="S24" i="41" s="1"/>
  <c r="T24" i="41" s="1"/>
  <c r="I21" i="41"/>
  <c r="J21" i="41" s="1"/>
  <c r="S21" i="41" s="1"/>
  <c r="T21" i="41" s="1"/>
  <c r="J43" i="41"/>
  <c r="I43" i="41"/>
  <c r="S43" i="41"/>
  <c r="T43" i="41" s="1"/>
  <c r="J23" i="41"/>
  <c r="S23" i="41" s="1"/>
  <c r="T23" i="41" s="1"/>
  <c r="I23" i="41"/>
  <c r="I27" i="41"/>
  <c r="J27" i="41" s="1"/>
  <c r="S27" i="41" s="1"/>
  <c r="T27" i="41" s="1"/>
  <c r="I38" i="41"/>
  <c r="J38" i="41" s="1"/>
  <c r="S38" i="41" s="1"/>
  <c r="T38" i="41" s="1"/>
  <c r="J80" i="41"/>
  <c r="I80" i="41"/>
  <c r="S80" i="41"/>
  <c r="T80" i="41" s="1"/>
  <c r="J42" i="41"/>
  <c r="S42" i="41" s="1"/>
  <c r="T42" i="41" s="1"/>
  <c r="I42" i="41"/>
  <c r="I46" i="41"/>
  <c r="J46" i="41"/>
  <c r="S46" i="41" s="1"/>
  <c r="T46" i="41" s="1"/>
  <c r="I49" i="41"/>
  <c r="J49" i="41" s="1"/>
  <c r="S49" i="41" s="1"/>
  <c r="T49" i="41" s="1"/>
  <c r="I103" i="41"/>
  <c r="J103" i="41" s="1"/>
  <c r="S103" i="41" s="1"/>
  <c r="T103" i="41" s="1"/>
  <c r="J28" i="41"/>
  <c r="S28" i="41" s="1"/>
  <c r="T28" i="41" s="1"/>
  <c r="I28" i="41"/>
  <c r="J39" i="41"/>
  <c r="I39" i="41"/>
  <c r="S39" i="41"/>
  <c r="T39" i="41" s="1"/>
  <c r="J97" i="41"/>
  <c r="S97" i="41"/>
  <c r="T97" i="41" s="1"/>
  <c r="I97" i="41"/>
  <c r="J31" i="41"/>
  <c r="I31" i="41"/>
  <c r="S31" i="41"/>
  <c r="T31" i="41" s="1"/>
  <c r="I55" i="41"/>
  <c r="J55" i="41" s="1"/>
  <c r="S55" i="41" s="1"/>
  <c r="T55" i="41" s="1"/>
  <c r="J25" i="41"/>
  <c r="S25" i="41" s="1"/>
  <c r="T25" i="41" s="1"/>
  <c r="I25" i="41"/>
  <c r="I36" i="41"/>
  <c r="J36" i="41" s="1"/>
  <c r="S36" i="41" s="1"/>
  <c r="T36" i="41" s="1"/>
  <c r="J58" i="41"/>
  <c r="S58" i="41" s="1"/>
  <c r="T58" i="41" s="1"/>
  <c r="I58" i="41"/>
  <c r="I104" i="41"/>
  <c r="J104" i="41" s="1"/>
  <c r="S104" i="41" s="1"/>
  <c r="T104" i="41" s="1"/>
  <c r="I35" i="41"/>
  <c r="J35" i="41" s="1"/>
  <c r="S35" i="41" s="1"/>
  <c r="T35" i="41" s="1"/>
  <c r="S6" i="41"/>
  <c r="T6" i="41" s="1"/>
  <c r="J6" i="41"/>
  <c r="I6" i="41"/>
  <c r="J9" i="41"/>
  <c r="S9" i="41" s="1"/>
  <c r="T9" i="41" s="1"/>
  <c r="I9" i="41"/>
  <c r="J12" i="41"/>
  <c r="S12" i="41"/>
  <c r="T12" i="41" s="1"/>
  <c r="I12" i="41"/>
  <c r="J29" i="41"/>
  <c r="S29" i="41" s="1"/>
  <c r="T29" i="41" s="1"/>
  <c r="I29" i="41"/>
  <c r="S40" i="41"/>
  <c r="T40" i="41" s="1"/>
  <c r="J40" i="41"/>
  <c r="I40" i="41"/>
  <c r="J63" i="41"/>
  <c r="S63" i="41" s="1"/>
  <c r="T63" i="41" s="1"/>
  <c r="S98" i="41"/>
  <c r="T98" i="41" s="1"/>
  <c r="J98" i="41"/>
  <c r="I98" i="41"/>
  <c r="J15" i="41"/>
  <c r="S15" i="41" s="1"/>
  <c r="T15" i="41" s="1"/>
  <c r="I15" i="41"/>
  <c r="I18" i="41"/>
  <c r="J18" i="41"/>
  <c r="S18" i="41" s="1"/>
  <c r="T18" i="41" s="1"/>
  <c r="I33" i="41"/>
  <c r="J33" i="41"/>
  <c r="S33" i="41" s="1"/>
  <c r="T33" i="41" s="1"/>
  <c r="J44" i="41"/>
  <c r="S44" i="41" s="1"/>
  <c r="T44" i="41" s="1"/>
  <c r="I44" i="41"/>
  <c r="J79" i="41"/>
  <c r="I79" i="41"/>
  <c r="S79" i="41"/>
  <c r="T79" i="41" s="1"/>
  <c r="I84" i="41"/>
  <c r="J84" i="41"/>
  <c r="S84" i="41" s="1"/>
  <c r="T84" i="41" s="1"/>
  <c r="I92" i="41"/>
  <c r="J92" i="41" s="1"/>
  <c r="S92" i="41" s="1"/>
  <c r="T92" i="41" s="1"/>
  <c r="I52" i="41"/>
  <c r="J52" i="41" s="1"/>
  <c r="S52" i="41" s="1"/>
  <c r="T52" i="41" s="1"/>
  <c r="I32" i="41"/>
  <c r="J32" i="41" s="1"/>
  <c r="S32" i="41" s="1"/>
  <c r="T32" i="41" s="1"/>
  <c r="I22" i="41"/>
  <c r="J22" i="41"/>
  <c r="S22" i="41"/>
  <c r="T22" i="41" s="1"/>
  <c r="I37" i="41"/>
  <c r="J37" i="41"/>
  <c r="S37" i="41" s="1"/>
  <c r="T37" i="41" s="1"/>
  <c r="J129" i="41"/>
  <c r="S129" i="41" s="1"/>
  <c r="T129" i="41" s="1"/>
  <c r="I129" i="41"/>
  <c r="I17" i="41"/>
  <c r="J17" i="41" s="1"/>
  <c r="S17" i="41" s="1"/>
  <c r="T17" i="41" s="1"/>
  <c r="J59" i="41"/>
  <c r="S59" i="41" s="1"/>
  <c r="T59" i="41" s="1"/>
  <c r="I59" i="41"/>
  <c r="J82" i="41"/>
  <c r="S82" i="41" s="1"/>
  <c r="T82" i="41" s="1"/>
  <c r="I82" i="41"/>
  <c r="S105" i="41"/>
  <c r="T105" i="41" s="1"/>
  <c r="I105" i="41"/>
  <c r="J105" i="41"/>
  <c r="I116" i="41"/>
  <c r="J116" i="41" s="1"/>
  <c r="S116" i="41" s="1"/>
  <c r="T116" i="41" s="1"/>
  <c r="J11" i="41"/>
  <c r="S11" i="41" s="1"/>
  <c r="T11" i="41" s="1"/>
  <c r="I11" i="41"/>
  <c r="I57" i="41"/>
  <c r="S57" i="41"/>
  <c r="T57" i="41" s="1"/>
  <c r="J57" i="41"/>
  <c r="J91" i="41"/>
  <c r="S91" i="41" s="1"/>
  <c r="T91" i="41" s="1"/>
  <c r="I91" i="41"/>
  <c r="I107" i="41"/>
  <c r="J107" i="41" s="1"/>
  <c r="S107" i="41" s="1"/>
  <c r="T107" i="41" s="1"/>
  <c r="I26" i="41"/>
  <c r="J26" i="41" s="1"/>
  <c r="S26" i="41" s="1"/>
  <c r="T26" i="41" s="1"/>
  <c r="I41" i="41"/>
  <c r="J41" i="41"/>
  <c r="S41" i="41" s="1"/>
  <c r="T41" i="41" s="1"/>
  <c r="J19" i="41"/>
  <c r="S19" i="41" s="1"/>
  <c r="T19" i="41" s="1"/>
  <c r="I19" i="41"/>
  <c r="J30" i="41"/>
  <c r="S30" i="41"/>
  <c r="T30" i="41" s="1"/>
  <c r="I30" i="41"/>
  <c r="S45" i="41"/>
  <c r="T45" i="41" s="1"/>
  <c r="I45" i="41"/>
  <c r="J45" i="41"/>
  <c r="I67" i="41"/>
  <c r="J67" i="41" s="1"/>
  <c r="S67" i="41" s="1"/>
  <c r="T67" i="41" s="1"/>
  <c r="S99" i="41"/>
  <c r="T99" i="41" s="1"/>
  <c r="I99" i="41"/>
  <c r="J99" i="41"/>
  <c r="I20" i="41"/>
  <c r="J20" i="41" s="1"/>
  <c r="S20" i="41" s="1"/>
  <c r="T20" i="41" s="1"/>
  <c r="S60" i="41"/>
  <c r="T60" i="41" s="1"/>
  <c r="I60" i="41"/>
  <c r="J60" i="41"/>
  <c r="S16" i="41"/>
  <c r="T16" i="41" s="1"/>
  <c r="I34" i="41"/>
  <c r="J34" i="41" s="1"/>
  <c r="S34" i="41" s="1"/>
  <c r="T34" i="41" s="1"/>
  <c r="I72" i="41"/>
  <c r="J72" i="41"/>
  <c r="S72" i="41" s="1"/>
  <c r="T72" i="41" s="1"/>
  <c r="S93" i="41"/>
  <c r="T93" i="41" s="1"/>
  <c r="I93" i="41"/>
  <c r="J93" i="41"/>
  <c r="J212" i="41"/>
  <c r="S212" i="41" s="1"/>
  <c r="T212" i="41" s="1"/>
  <c r="I212" i="41"/>
  <c r="J7" i="41"/>
  <c r="S7" i="41" s="1"/>
  <c r="T7" i="41" s="1"/>
  <c r="J13" i="41"/>
  <c r="J61" i="41"/>
  <c r="S61" i="41" s="1"/>
  <c r="T61" i="41" s="1"/>
  <c r="J71" i="41"/>
  <c r="S71" i="41" s="1"/>
  <c r="T71" i="41" s="1"/>
  <c r="I95" i="41"/>
  <c r="J95" i="41"/>
  <c r="S95" i="41" s="1"/>
  <c r="T95" i="41" s="1"/>
  <c r="I101" i="41"/>
  <c r="J101" i="41" s="1"/>
  <c r="S101" i="41" s="1"/>
  <c r="T101" i="41" s="1"/>
  <c r="I141" i="41"/>
  <c r="J141" i="41" s="1"/>
  <c r="S141" i="41" s="1"/>
  <c r="T141" i="41" s="1"/>
  <c r="I220" i="41"/>
  <c r="J220" i="41" s="1"/>
  <c r="S220" i="41" s="1"/>
  <c r="T220" i="41" s="1"/>
  <c r="I68" i="41"/>
  <c r="S73" i="41"/>
  <c r="T73" i="41" s="1"/>
  <c r="J73" i="41"/>
  <c r="J125" i="41"/>
  <c r="S125" i="41" s="1"/>
  <c r="T125" i="41" s="1"/>
  <c r="S8" i="41"/>
  <c r="T8" i="41" s="1"/>
  <c r="S14" i="41"/>
  <c r="T14" i="41" s="1"/>
  <c r="I65" i="41"/>
  <c r="I73" i="41"/>
  <c r="I75" i="41"/>
  <c r="J75" i="41" s="1"/>
  <c r="S75" i="41" s="1"/>
  <c r="T75" i="41" s="1"/>
  <c r="I77" i="41"/>
  <c r="J77" i="41" s="1"/>
  <c r="S77" i="41" s="1"/>
  <c r="T77" i="41" s="1"/>
  <c r="I114" i="41"/>
  <c r="J114" i="41" s="1"/>
  <c r="S114" i="41" s="1"/>
  <c r="T114" i="41" s="1"/>
  <c r="J118" i="41"/>
  <c r="I118" i="41"/>
  <c r="I125" i="41"/>
  <c r="I216" i="41"/>
  <c r="J216" i="41" s="1"/>
  <c r="S216" i="41" s="1"/>
  <c r="T216" i="41" s="1"/>
  <c r="I121" i="41"/>
  <c r="S121" i="41"/>
  <c r="T121" i="41" s="1"/>
  <c r="I48" i="41"/>
  <c r="I51" i="41"/>
  <c r="I54" i="41"/>
  <c r="S68" i="41"/>
  <c r="T68" i="41" s="1"/>
  <c r="J121" i="41"/>
  <c r="J159" i="41"/>
  <c r="S159" i="41" s="1"/>
  <c r="T159" i="41" s="1"/>
  <c r="I159" i="41"/>
  <c r="I63" i="41"/>
  <c r="I228" i="41"/>
  <c r="J228" i="41" s="1"/>
  <c r="S228" i="41" s="1"/>
  <c r="T228" i="41" s="1"/>
  <c r="S70" i="41"/>
  <c r="T70" i="41" s="1"/>
  <c r="J70" i="41"/>
  <c r="J4" i="41"/>
  <c r="S4" i="41" s="1"/>
  <c r="T4" i="41" s="1"/>
  <c r="J10" i="41"/>
  <c r="S10" i="41" s="1"/>
  <c r="T10" i="41" s="1"/>
  <c r="J16" i="41"/>
  <c r="J48" i="41"/>
  <c r="S48" i="41" s="1"/>
  <c r="T48" i="41" s="1"/>
  <c r="J51" i="41"/>
  <c r="S51" i="41" s="1"/>
  <c r="T51" i="41" s="1"/>
  <c r="J54" i="41"/>
  <c r="S54" i="41" s="1"/>
  <c r="T54" i="41" s="1"/>
  <c r="I62" i="41"/>
  <c r="J62" i="41" s="1"/>
  <c r="S62" i="41" s="1"/>
  <c r="T62" i="41" s="1"/>
  <c r="I88" i="41"/>
  <c r="J88" i="41"/>
  <c r="S88" i="41" s="1"/>
  <c r="T88" i="41" s="1"/>
  <c r="J90" i="41"/>
  <c r="S90" i="41" s="1"/>
  <c r="T90" i="41" s="1"/>
  <c r="I90" i="41"/>
  <c r="I94" i="41"/>
  <c r="J96" i="41"/>
  <c r="S96" i="41" s="1"/>
  <c r="T96" i="41" s="1"/>
  <c r="I96" i="41"/>
  <c r="I100" i="41"/>
  <c r="J102" i="41"/>
  <c r="S102" i="41" s="1"/>
  <c r="T102" i="41" s="1"/>
  <c r="I102" i="41"/>
  <c r="S118" i="41"/>
  <c r="T118" i="41" s="1"/>
  <c r="I168" i="41"/>
  <c r="J168" i="41" s="1"/>
  <c r="S168" i="41" s="1"/>
  <c r="T168" i="41" s="1"/>
  <c r="I162" i="41"/>
  <c r="S162" i="41"/>
  <c r="T162" i="41" s="1"/>
  <c r="S65" i="41"/>
  <c r="T65" i="41" s="1"/>
  <c r="J94" i="41"/>
  <c r="S94" i="41" s="1"/>
  <c r="T94" i="41" s="1"/>
  <c r="J100" i="41"/>
  <c r="S100" i="41" s="1"/>
  <c r="T100" i="41" s="1"/>
  <c r="J106" i="41"/>
  <c r="S106" i="41" s="1"/>
  <c r="T106" i="41" s="1"/>
  <c r="I122" i="41"/>
  <c r="S122" i="41"/>
  <c r="T122" i="41" s="1"/>
  <c r="J126" i="41"/>
  <c r="S126" i="41" s="1"/>
  <c r="T126" i="41" s="1"/>
  <c r="I126" i="41"/>
  <c r="J137" i="41"/>
  <c r="S137" i="41" s="1"/>
  <c r="T137" i="41" s="1"/>
  <c r="I137" i="41"/>
  <c r="I146" i="41"/>
  <c r="J146" i="41" s="1"/>
  <c r="S146" i="41" s="1"/>
  <c r="T146" i="41" s="1"/>
  <c r="S224" i="41"/>
  <c r="T224" i="41" s="1"/>
  <c r="J224" i="41"/>
  <c r="I224" i="41"/>
  <c r="J108" i="41"/>
  <c r="S108" i="41" s="1"/>
  <c r="I136" i="41"/>
  <c r="J136" i="41" s="1"/>
  <c r="S136" i="41" s="1"/>
  <c r="T136" i="41" s="1"/>
  <c r="I16" i="41"/>
  <c r="I81" i="41"/>
  <c r="J81" i="41" s="1"/>
  <c r="S81" i="41"/>
  <c r="T81" i="41" s="1"/>
  <c r="S83" i="41"/>
  <c r="T83" i="41" s="1"/>
  <c r="S117" i="41"/>
  <c r="T117" i="41" s="1"/>
  <c r="I117" i="41"/>
  <c r="J119" i="41"/>
  <c r="S119" i="41" s="1"/>
  <c r="T119" i="41" s="1"/>
  <c r="S124" i="41"/>
  <c r="T124" i="41" s="1"/>
  <c r="I124" i="41"/>
  <c r="J124" i="41" s="1"/>
  <c r="I134" i="41"/>
  <c r="J134" i="41" s="1"/>
  <c r="S134" i="41" s="1"/>
  <c r="T134" i="41" s="1"/>
  <c r="J140" i="41"/>
  <c r="S140" i="41" s="1"/>
  <c r="T140" i="41" s="1"/>
  <c r="I140" i="41"/>
  <c r="S160" i="41"/>
  <c r="T160" i="41" s="1"/>
  <c r="J160" i="41"/>
  <c r="I160" i="41"/>
  <c r="I123" i="41"/>
  <c r="J123" i="41" s="1"/>
  <c r="S123" i="41" s="1"/>
  <c r="T123" i="41" s="1"/>
  <c r="J157" i="41"/>
  <c r="S157" i="41" s="1"/>
  <c r="T157" i="41" s="1"/>
  <c r="J179" i="41"/>
  <c r="I179" i="41"/>
  <c r="S179" i="41"/>
  <c r="T179" i="41" s="1"/>
  <c r="S13" i="41"/>
  <c r="T13" i="41" s="1"/>
  <c r="I64" i="41"/>
  <c r="J64" i="41"/>
  <c r="S64" i="41" s="1"/>
  <c r="T64" i="41" s="1"/>
  <c r="I69" i="41"/>
  <c r="J69" i="41" s="1"/>
  <c r="S69" i="41"/>
  <c r="T69" i="41" s="1"/>
  <c r="I115" i="41"/>
  <c r="J115" i="41" s="1"/>
  <c r="S115" i="41" s="1"/>
  <c r="T115" i="41" s="1"/>
  <c r="J132" i="41"/>
  <c r="S132" i="41" s="1"/>
  <c r="T132" i="41" s="1"/>
  <c r="I132" i="41"/>
  <c r="I66" i="41"/>
  <c r="I76" i="41"/>
  <c r="J76" i="41"/>
  <c r="S76" i="41" s="1"/>
  <c r="T76" i="41" s="1"/>
  <c r="J78" i="41"/>
  <c r="I78" i="41"/>
  <c r="S78" i="41"/>
  <c r="T78" i="41" s="1"/>
  <c r="J85" i="41"/>
  <c r="S85" i="41" s="1"/>
  <c r="T85" i="41" s="1"/>
  <c r="I111" i="41"/>
  <c r="J111" i="41" s="1"/>
  <c r="S111" i="41" s="1"/>
  <c r="T111" i="41" s="1"/>
  <c r="I127" i="41"/>
  <c r="J144" i="41"/>
  <c r="S144" i="41" s="1"/>
  <c r="T144" i="41" s="1"/>
  <c r="I144" i="41"/>
  <c r="J66" i="41"/>
  <c r="S66" i="41" s="1"/>
  <c r="T66" i="41" s="1"/>
  <c r="I85" i="41"/>
  <c r="S87" i="41"/>
  <c r="T87" i="41" s="1"/>
  <c r="I87" i="41"/>
  <c r="J89" i="41"/>
  <c r="S89" i="41" s="1"/>
  <c r="T89" i="41" s="1"/>
  <c r="I89" i="41"/>
  <c r="J127" i="41"/>
  <c r="S127" i="41" s="1"/>
  <c r="T127" i="41" s="1"/>
  <c r="J138" i="41"/>
  <c r="S138" i="41" s="1"/>
  <c r="T138" i="41" s="1"/>
  <c r="S109" i="41"/>
  <c r="T109" i="41" s="1"/>
  <c r="J143" i="41"/>
  <c r="S143" i="41" s="1"/>
  <c r="T143" i="41" s="1"/>
  <c r="I154" i="41"/>
  <c r="J154" i="41" s="1"/>
  <c r="S154" i="41" s="1"/>
  <c r="T154" i="41" s="1"/>
  <c r="I170" i="41"/>
  <c r="J170" i="41" s="1"/>
  <c r="S170" i="41" s="1"/>
  <c r="T170" i="41" s="1"/>
  <c r="I198" i="41"/>
  <c r="J198" i="41" s="1"/>
  <c r="S198" i="41" s="1"/>
  <c r="T198" i="41" s="1"/>
  <c r="I205" i="41"/>
  <c r="J205" i="41" s="1"/>
  <c r="S205" i="41" s="1"/>
  <c r="T205" i="41" s="1"/>
  <c r="S113" i="41"/>
  <c r="T113" i="41" s="1"/>
  <c r="J139" i="41"/>
  <c r="S139" i="41" s="1"/>
  <c r="T139" i="41" s="1"/>
  <c r="S147" i="41"/>
  <c r="T147" i="41" s="1"/>
  <c r="J147" i="41"/>
  <c r="I155" i="41"/>
  <c r="J155" i="41" s="1"/>
  <c r="S155" i="41" s="1"/>
  <c r="T155" i="41" s="1"/>
  <c r="I131" i="41"/>
  <c r="J142" i="41"/>
  <c r="S142" i="41" s="1"/>
  <c r="T142" i="41" s="1"/>
  <c r="I142" i="41"/>
  <c r="J156" i="41"/>
  <c r="I156" i="41"/>
  <c r="S156" i="41"/>
  <c r="T156" i="41" s="1"/>
  <c r="S176" i="41"/>
  <c r="T176" i="41" s="1"/>
  <c r="S203" i="41"/>
  <c r="T203" i="41" s="1"/>
  <c r="J203" i="41"/>
  <c r="I203" i="41"/>
  <c r="S112" i="41"/>
  <c r="T112" i="41" s="1"/>
  <c r="J131" i="41"/>
  <c r="S131" i="41" s="1"/>
  <c r="T131" i="41" s="1"/>
  <c r="I133" i="41"/>
  <c r="J135" i="41"/>
  <c r="S135" i="41" s="1"/>
  <c r="T135" i="41" s="1"/>
  <c r="J145" i="41"/>
  <c r="S145" i="41" s="1"/>
  <c r="T145" i="41" s="1"/>
  <c r="I187" i="41"/>
  <c r="J187" i="41" s="1"/>
  <c r="S187" i="41" s="1"/>
  <c r="T187" i="41" s="1"/>
  <c r="I190" i="41"/>
  <c r="J190" i="41" s="1"/>
  <c r="S190" i="41" s="1"/>
  <c r="T190" i="41" s="1"/>
  <c r="I153" i="41"/>
  <c r="J153" i="41" s="1"/>
  <c r="S153" i="41" s="1"/>
  <c r="T153" i="41" s="1"/>
  <c r="J128" i="41"/>
  <c r="S128" i="41" s="1"/>
  <c r="T128" i="41" s="1"/>
  <c r="J172" i="41"/>
  <c r="S172" i="41" s="1"/>
  <c r="T172" i="41" s="1"/>
  <c r="J184" i="41"/>
  <c r="S184" i="41" s="1"/>
  <c r="T184" i="41" s="1"/>
  <c r="J192" i="41"/>
  <c r="S192" i="41" s="1"/>
  <c r="T192" i="41" s="1"/>
  <c r="I192" i="41"/>
  <c r="J195" i="41"/>
  <c r="S195" i="41" s="1"/>
  <c r="T195" i="41" s="1"/>
  <c r="I166" i="41"/>
  <c r="J166" i="41" s="1"/>
  <c r="S166" i="41" s="1"/>
  <c r="T166" i="41" s="1"/>
  <c r="J175" i="41"/>
  <c r="I175" i="41"/>
  <c r="S175" i="41"/>
  <c r="T175" i="41" s="1"/>
  <c r="J177" i="41"/>
  <c r="S177" i="41" s="1"/>
  <c r="T177" i="41" s="1"/>
  <c r="I177" i="41"/>
  <c r="I202" i="41"/>
  <c r="J202" i="41" s="1"/>
  <c r="S202" i="41" s="1"/>
  <c r="T202" i="41" s="1"/>
  <c r="S148" i="41"/>
  <c r="T148" i="41" s="1"/>
  <c r="I150" i="41"/>
  <c r="J150" i="41" s="1"/>
  <c r="S150" i="41" s="1"/>
  <c r="T150" i="41" s="1"/>
  <c r="I182" i="41"/>
  <c r="J193" i="41"/>
  <c r="S193" i="41" s="1"/>
  <c r="T193" i="41" s="1"/>
  <c r="I193" i="41"/>
  <c r="J199" i="41"/>
  <c r="I199" i="41"/>
  <c r="S199" i="41"/>
  <c r="T199" i="41" s="1"/>
  <c r="I148" i="41"/>
  <c r="S173" i="41"/>
  <c r="T173" i="41" s="1"/>
  <c r="J182" i="41"/>
  <c r="S182" i="41" s="1"/>
  <c r="T182" i="41" s="1"/>
  <c r="I196" i="41"/>
  <c r="J196" i="41" s="1"/>
  <c r="S196" i="41" s="1"/>
  <c r="T196" i="41" s="1"/>
  <c r="J180" i="41"/>
  <c r="I180" i="41"/>
  <c r="S188" i="41"/>
  <c r="T188" i="41" s="1"/>
  <c r="J173" i="41"/>
  <c r="J178" i="41"/>
  <c r="I178" i="41"/>
  <c r="S178" i="41"/>
  <c r="T178" i="41" s="1"/>
  <c r="J185" i="41"/>
  <c r="S185" i="41" s="1"/>
  <c r="T185" i="41" s="1"/>
  <c r="J169" i="41"/>
  <c r="S169" i="41" s="1"/>
  <c r="T169" i="41" s="1"/>
  <c r="I191" i="41"/>
  <c r="J191" i="41" s="1"/>
  <c r="S191" i="41" s="1"/>
  <c r="T191" i="41" s="1"/>
  <c r="I167" i="41"/>
  <c r="J167" i="41" s="1"/>
  <c r="S167" i="41" s="1"/>
  <c r="T167" i="41" s="1"/>
  <c r="I171" i="41"/>
  <c r="J171" i="41" s="1"/>
  <c r="S171" i="41" s="1"/>
  <c r="T171" i="41" s="1"/>
  <c r="S180" i="41"/>
  <c r="T180" i="41" s="1"/>
  <c r="I183" i="41"/>
  <c r="J183" i="41" s="1"/>
  <c r="S183" i="41" s="1"/>
  <c r="T183" i="41" s="1"/>
  <c r="I186" i="41"/>
  <c r="J186" i="41" s="1"/>
  <c r="S186" i="41"/>
  <c r="T186" i="41" s="1"/>
  <c r="S194" i="41"/>
  <c r="T194" i="41" s="1"/>
  <c r="J194" i="41"/>
  <c r="I194" i="41"/>
  <c r="I197" i="41"/>
  <c r="J197" i="41" s="1"/>
  <c r="S197" i="41" s="1"/>
  <c r="T197" i="41" s="1"/>
  <c r="J207" i="41"/>
  <c r="S207" i="41" s="1"/>
  <c r="T207" i="41" s="1"/>
  <c r="I207" i="41"/>
  <c r="J163" i="41"/>
  <c r="S163" i="41" s="1"/>
  <c r="T163" i="41" s="1"/>
  <c r="I174" i="41"/>
  <c r="I189" i="41"/>
  <c r="J189" i="41" s="1"/>
  <c r="S189" i="41" s="1"/>
  <c r="T189" i="41" s="1"/>
  <c r="I149" i="41"/>
  <c r="J149" i="41" s="1"/>
  <c r="S149" i="41" s="1"/>
  <c r="T149" i="41" s="1"/>
  <c r="I151" i="41"/>
  <c r="J151" i="41" s="1"/>
  <c r="S151" i="41" s="1"/>
  <c r="T151" i="41" s="1"/>
  <c r="S161" i="41"/>
  <c r="T161" i="41" s="1"/>
  <c r="I163" i="41"/>
  <c r="I165" i="41"/>
  <c r="J165" i="41" s="1"/>
  <c r="S165" i="41" s="1"/>
  <c r="T165" i="41" s="1"/>
  <c r="J174" i="41"/>
  <c r="S174" i="41" s="1"/>
  <c r="T174" i="41" s="1"/>
  <c r="I181" i="41"/>
  <c r="J181" i="41" s="1"/>
  <c r="S181" i="41" s="1"/>
  <c r="T181" i="41" s="1"/>
  <c r="S201" i="41"/>
  <c r="T201" i="41" s="1"/>
  <c r="S208" i="41"/>
  <c r="T208" i="41" s="1"/>
  <c r="S206" i="41"/>
  <c r="T206" i="41" s="1"/>
  <c r="J209" i="41"/>
  <c r="S209" i="41" s="1"/>
  <c r="T209" i="41" s="1"/>
  <c r="I209" i="41"/>
  <c r="I213" i="41"/>
  <c r="J213" i="41" s="1"/>
  <c r="S213" i="41" s="1"/>
  <c r="T213" i="41" s="1"/>
  <c r="I217" i="41"/>
  <c r="J217" i="41" s="1"/>
  <c r="S217" i="41" s="1"/>
  <c r="T217" i="41" s="1"/>
  <c r="I221" i="41"/>
  <c r="J221" i="41" s="1"/>
  <c r="S221" i="41" s="1"/>
  <c r="T221" i="41" s="1"/>
  <c r="J225" i="41"/>
  <c r="S225" i="41" s="1"/>
  <c r="T225" i="41" s="1"/>
  <c r="I225" i="41"/>
  <c r="I229" i="41"/>
  <c r="J229" i="41" s="1"/>
  <c r="S229" i="41" s="1"/>
  <c r="T229" i="41" s="1"/>
  <c r="I200" i="41"/>
  <c r="J200" i="41"/>
  <c r="S200" i="41" s="1"/>
  <c r="T200" i="41" s="1"/>
  <c r="J210" i="41"/>
  <c r="S210" i="41" s="1"/>
  <c r="T210" i="41" s="1"/>
  <c r="I210" i="41"/>
  <c r="J214" i="41"/>
  <c r="S214" i="41" s="1"/>
  <c r="T214" i="41" s="1"/>
  <c r="I214" i="41"/>
  <c r="I218" i="41"/>
  <c r="J218" i="41" s="1"/>
  <c r="S218" i="41" s="1"/>
  <c r="T218" i="41" s="1"/>
  <c r="J222" i="41"/>
  <c r="S222" i="41" s="1"/>
  <c r="T222" i="41" s="1"/>
  <c r="I222" i="41"/>
  <c r="J226" i="41"/>
  <c r="S226" i="41" s="1"/>
  <c r="T226" i="41" s="1"/>
  <c r="I226" i="41"/>
  <c r="J230" i="41"/>
  <c r="S230" i="41" s="1"/>
  <c r="T230" i="41" s="1"/>
  <c r="I230" i="41"/>
  <c r="I211" i="41"/>
  <c r="J211" i="41" s="1"/>
  <c r="S211" i="41" s="1"/>
  <c r="T211" i="41" s="1"/>
  <c r="J215" i="41"/>
  <c r="S215" i="41" s="1"/>
  <c r="T215" i="41" s="1"/>
  <c r="I215" i="41"/>
  <c r="J219" i="41"/>
  <c r="S219" i="41" s="1"/>
  <c r="T219" i="41" s="1"/>
  <c r="I219" i="41"/>
  <c r="I223" i="41"/>
  <c r="J223" i="41" s="1"/>
  <c r="S223" i="41" s="1"/>
  <c r="T223" i="41" s="1"/>
  <c r="I227" i="41"/>
  <c r="J227" i="41" s="1"/>
  <c r="S227" i="41" s="1"/>
  <c r="T227" i="41" s="1"/>
  <c r="I231" i="41"/>
  <c r="J231" i="41" s="1"/>
  <c r="S231" i="41" s="1"/>
  <c r="T231" i="41" s="1"/>
  <c r="J27" i="40"/>
  <c r="S27" i="40" s="1"/>
  <c r="T27" i="40" s="1"/>
  <c r="I27" i="40"/>
  <c r="J35" i="40"/>
  <c r="S35" i="40" s="1"/>
  <c r="T35" i="40" s="1"/>
  <c r="I35" i="40"/>
  <c r="J5" i="40"/>
  <c r="S5" i="40" s="1"/>
  <c r="T5" i="40" s="1"/>
  <c r="I5" i="40"/>
  <c r="I59" i="40"/>
  <c r="J59" i="40" s="1"/>
  <c r="S59" i="40" s="1"/>
  <c r="T59" i="40" s="1"/>
  <c r="J31" i="40"/>
  <c r="I31" i="40"/>
  <c r="I46" i="40"/>
  <c r="J46" i="40"/>
  <c r="S46" i="40" s="1"/>
  <c r="T46" i="40" s="1"/>
  <c r="I51" i="40"/>
  <c r="J51" i="40"/>
  <c r="I14" i="40"/>
  <c r="J14" i="40" s="1"/>
  <c r="S14" i="40" s="1"/>
  <c r="T14" i="40" s="1"/>
  <c r="J17" i="40"/>
  <c r="S17" i="40" s="1"/>
  <c r="T17" i="40" s="1"/>
  <c r="I17" i="40"/>
  <c r="G22" i="40"/>
  <c r="I47" i="40"/>
  <c r="J47" i="40" s="1"/>
  <c r="S47" i="40" s="1"/>
  <c r="T47" i="40" s="1"/>
  <c r="I52" i="40"/>
  <c r="J52" i="40"/>
  <c r="S52" i="40" s="1"/>
  <c r="T52" i="40" s="1"/>
  <c r="J69" i="40"/>
  <c r="S69" i="40" s="1"/>
  <c r="T69" i="40" s="1"/>
  <c r="I69" i="40"/>
  <c r="J9" i="40"/>
  <c r="S9" i="40" s="1"/>
  <c r="T9" i="40" s="1"/>
  <c r="I9" i="40"/>
  <c r="J37" i="40"/>
  <c r="S37" i="40" s="1"/>
  <c r="T37" i="40" s="1"/>
  <c r="I37" i="40"/>
  <c r="I43" i="40"/>
  <c r="J43" i="40"/>
  <c r="S43" i="40" s="1"/>
  <c r="T43" i="40" s="1"/>
  <c r="J23" i="40"/>
  <c r="S23" i="40" s="1"/>
  <c r="T23" i="40" s="1"/>
  <c r="I23" i="40"/>
  <c r="G70" i="40"/>
  <c r="J29" i="40"/>
  <c r="S29" i="40" s="1"/>
  <c r="T29" i="40" s="1"/>
  <c r="I29" i="40"/>
  <c r="J33" i="40"/>
  <c r="S33" i="40" s="1"/>
  <c r="T33" i="40" s="1"/>
  <c r="I33" i="40"/>
  <c r="G48" i="40"/>
  <c r="S57" i="40"/>
  <c r="T57" i="40" s="1"/>
  <c r="I57" i="40"/>
  <c r="J57" i="40"/>
  <c r="J7" i="40"/>
  <c r="S7" i="40" s="1"/>
  <c r="T7" i="40" s="1"/>
  <c r="I7" i="40"/>
  <c r="O18" i="40"/>
  <c r="R18" i="40" s="1"/>
  <c r="G18" i="40"/>
  <c r="S26" i="40"/>
  <c r="T26" i="40" s="1"/>
  <c r="J26" i="40"/>
  <c r="I26" i="40"/>
  <c r="G62" i="40"/>
  <c r="I55" i="40"/>
  <c r="J55" i="40" s="1"/>
  <c r="S55" i="40" s="1"/>
  <c r="T55" i="40" s="1"/>
  <c r="J13" i="40"/>
  <c r="I13" i="40"/>
  <c r="J39" i="40"/>
  <c r="S39" i="40" s="1"/>
  <c r="T39" i="40" s="1"/>
  <c r="I39" i="40"/>
  <c r="I44" i="40"/>
  <c r="J44" i="40" s="1"/>
  <c r="J19" i="40"/>
  <c r="S19" i="40" s="1"/>
  <c r="T19" i="40" s="1"/>
  <c r="I19" i="40"/>
  <c r="J24" i="40"/>
  <c r="I24" i="40"/>
  <c r="I54" i="40"/>
  <c r="J54" i="40"/>
  <c r="S54" i="40" s="1"/>
  <c r="T54" i="40" s="1"/>
  <c r="F66" i="40"/>
  <c r="G66" i="40" s="1"/>
  <c r="F69" i="40"/>
  <c r="F72" i="40"/>
  <c r="G72" i="40" s="1"/>
  <c r="F75" i="40"/>
  <c r="G75" i="40" s="1"/>
  <c r="F78" i="40"/>
  <c r="O78" i="40" s="1"/>
  <c r="R78" i="40" s="1"/>
  <c r="G6" i="40"/>
  <c r="F17" i="40"/>
  <c r="G20" i="40"/>
  <c r="F22" i="40"/>
  <c r="O22" i="40" s="1"/>
  <c r="R22" i="40" s="1"/>
  <c r="F27" i="40"/>
  <c r="G34" i="40"/>
  <c r="F36" i="40"/>
  <c r="O36" i="40" s="1"/>
  <c r="R36" i="40" s="1"/>
  <c r="F38" i="40"/>
  <c r="O38" i="40" s="1"/>
  <c r="R38" i="40" s="1"/>
  <c r="F40" i="40"/>
  <c r="G40" i="40" s="1"/>
  <c r="F42" i="40"/>
  <c r="G42" i="40" s="1"/>
  <c r="G49" i="40"/>
  <c r="O51" i="40"/>
  <c r="F54" i="40"/>
  <c r="G61" i="40"/>
  <c r="R63" i="40"/>
  <c r="O75" i="40"/>
  <c r="S56" i="40"/>
  <c r="T56" i="40" s="1"/>
  <c r="I56" i="40"/>
  <c r="O44" i="40"/>
  <c r="O66" i="40"/>
  <c r="F5" i="40"/>
  <c r="F11" i="40"/>
  <c r="O11" i="40" s="1"/>
  <c r="R11" i="40" s="1"/>
  <c r="F24" i="40"/>
  <c r="O24" i="40" s="1"/>
  <c r="R24" i="40" s="1"/>
  <c r="F29" i="40"/>
  <c r="O49" i="40"/>
  <c r="R49" i="40" s="1"/>
  <c r="F52" i="40"/>
  <c r="F64" i="40"/>
  <c r="G64" i="40" s="1"/>
  <c r="F45" i="40"/>
  <c r="G45" i="40" s="1"/>
  <c r="O54" i="40"/>
  <c r="R54" i="40" s="1"/>
  <c r="F57" i="40"/>
  <c r="F67" i="40"/>
  <c r="G67" i="40" s="1"/>
  <c r="F70" i="40"/>
  <c r="O70" i="40" s="1"/>
  <c r="R70" i="40" s="1"/>
  <c r="F73" i="40"/>
  <c r="G73" i="40" s="1"/>
  <c r="F76" i="40"/>
  <c r="G76" i="40" s="1"/>
  <c r="F79" i="40"/>
  <c r="G79" i="40" s="1"/>
  <c r="S12" i="40"/>
  <c r="T12" i="40" s="1"/>
  <c r="G8" i="40"/>
  <c r="F19" i="40"/>
  <c r="O19" i="40" s="1"/>
  <c r="R19" i="40" s="1"/>
  <c r="F26" i="40"/>
  <c r="F31" i="40"/>
  <c r="O31" i="40" s="1"/>
  <c r="R31" i="40" s="1"/>
  <c r="F33" i="40"/>
  <c r="F62" i="40"/>
  <c r="I63" i="40"/>
  <c r="J63" i="40" s="1"/>
  <c r="S63" i="40" s="1"/>
  <c r="T63" i="40" s="1"/>
  <c r="G32" i="40"/>
  <c r="O72" i="40"/>
  <c r="F4" i="40"/>
  <c r="G4" i="40" s="1"/>
  <c r="I16" i="40"/>
  <c r="F35" i="40"/>
  <c r="I50" i="40"/>
  <c r="O64" i="40"/>
  <c r="O67" i="40"/>
  <c r="O73" i="40"/>
  <c r="O79" i="40"/>
  <c r="F7" i="40"/>
  <c r="F13" i="40"/>
  <c r="O13" i="40" s="1"/>
  <c r="R13" i="40" s="1"/>
  <c r="J16" i="40"/>
  <c r="S16" i="40" s="1"/>
  <c r="T16" i="40" s="1"/>
  <c r="F21" i="40"/>
  <c r="O21" i="40" s="1"/>
  <c r="R21" i="40" s="1"/>
  <c r="F23" i="40"/>
  <c r="F37" i="40"/>
  <c r="O37" i="40" s="1"/>
  <c r="R37" i="40" s="1"/>
  <c r="F39" i="40"/>
  <c r="O39" i="40" s="1"/>
  <c r="R39" i="40" s="1"/>
  <c r="F41" i="40"/>
  <c r="O41" i="40" s="1"/>
  <c r="R41" i="40" s="1"/>
  <c r="O45" i="40"/>
  <c r="F48" i="40"/>
  <c r="J50" i="40"/>
  <c r="S50" i="40" s="1"/>
  <c r="T50" i="40" s="1"/>
  <c r="O57" i="40"/>
  <c r="R57" i="40" s="1"/>
  <c r="F60" i="40"/>
  <c r="G60" i="40" s="1"/>
  <c r="O50" i="40"/>
  <c r="R50" i="40" s="1"/>
  <c r="O62" i="40"/>
  <c r="R62" i="40" s="1"/>
  <c r="I12" i="40"/>
  <c r="O69" i="40"/>
  <c r="R69" i="40" s="1"/>
  <c r="S10" i="40"/>
  <c r="T10" i="40" s="1"/>
  <c r="R28" i="40"/>
  <c r="I53" i="40"/>
  <c r="J65" i="40"/>
  <c r="S65" i="40" s="1"/>
  <c r="T65" i="40" s="1"/>
  <c r="I65" i="40"/>
  <c r="J68" i="40"/>
  <c r="S68" i="40" s="1"/>
  <c r="T68" i="40" s="1"/>
  <c r="I68" i="40"/>
  <c r="I71" i="40"/>
  <c r="J71" i="40" s="1"/>
  <c r="I74" i="40"/>
  <c r="J74" i="40" s="1"/>
  <c r="S74" i="40" s="1"/>
  <c r="T74" i="40" s="1"/>
  <c r="J77" i="40"/>
  <c r="S77" i="40" s="1"/>
  <c r="T77" i="40" s="1"/>
  <c r="I77" i="40"/>
  <c r="J80" i="40"/>
  <c r="S80" i="40" s="1"/>
  <c r="T80" i="40" s="1"/>
  <c r="I80" i="40"/>
  <c r="G30" i="40"/>
  <c r="R14" i="40"/>
  <c r="I10" i="40"/>
  <c r="S15" i="40"/>
  <c r="T15" i="40" s="1"/>
  <c r="S25" i="40"/>
  <c r="T25" i="40" s="1"/>
  <c r="G28" i="40"/>
  <c r="O48" i="40"/>
  <c r="J53" i="40"/>
  <c r="S53" i="40" s="1"/>
  <c r="T53" i="40" s="1"/>
  <c r="I58" i="40"/>
  <c r="J58" i="40" s="1"/>
  <c r="S58" i="40" s="1"/>
  <c r="T58" i="40" s="1"/>
  <c r="O60" i="40"/>
  <c r="O80" i="40"/>
  <c r="R80" i="40" s="1"/>
  <c r="N40" i="40"/>
  <c r="Q40" i="40" s="1"/>
  <c r="N41" i="40"/>
  <c r="Q41" i="40" s="1"/>
  <c r="N42" i="40"/>
  <c r="Q42" i="40" s="1"/>
  <c r="N43" i="40"/>
  <c r="Q43" i="40" s="1"/>
  <c r="N44" i="40"/>
  <c r="Q44" i="40" s="1"/>
  <c r="N45" i="40"/>
  <c r="Q45" i="40" s="1"/>
  <c r="N46" i="40"/>
  <c r="Q46" i="40" s="1"/>
  <c r="R46" i="40" s="1"/>
  <c r="N47" i="40"/>
  <c r="Q47" i="40" s="1"/>
  <c r="N48" i="40"/>
  <c r="Q48" i="40" s="1"/>
  <c r="N49" i="40"/>
  <c r="Q49" i="40" s="1"/>
  <c r="N50" i="40"/>
  <c r="Q50" i="40" s="1"/>
  <c r="N51" i="40"/>
  <c r="Q51" i="40" s="1"/>
  <c r="N52" i="40"/>
  <c r="Q52" i="40" s="1"/>
  <c r="N53" i="40"/>
  <c r="Q53" i="40" s="1"/>
  <c r="N54" i="40"/>
  <c r="Q54" i="40" s="1"/>
  <c r="N55" i="40"/>
  <c r="Q55" i="40" s="1"/>
  <c r="R55" i="40" s="1"/>
  <c r="N56" i="40"/>
  <c r="Q56" i="40" s="1"/>
  <c r="N57" i="40"/>
  <c r="Q57" i="40" s="1"/>
  <c r="N58" i="40"/>
  <c r="Q58" i="40" s="1"/>
  <c r="R58" i="40" s="1"/>
  <c r="N59" i="40"/>
  <c r="Q59" i="40" s="1"/>
  <c r="N60" i="40"/>
  <c r="Q60" i="40" s="1"/>
  <c r="N61" i="40"/>
  <c r="Q61" i="40" s="1"/>
  <c r="N62" i="40"/>
  <c r="Q62" i="40" s="1"/>
  <c r="N63" i="40"/>
  <c r="Q63" i="40" s="1"/>
  <c r="N64" i="40"/>
  <c r="Q64" i="40" s="1"/>
  <c r="N65" i="40"/>
  <c r="Q65" i="40" s="1"/>
  <c r="N66" i="40"/>
  <c r="Q66" i="40" s="1"/>
  <c r="N67" i="40"/>
  <c r="Q67" i="40" s="1"/>
  <c r="N68" i="40"/>
  <c r="Q68" i="40" s="1"/>
  <c r="N69" i="40"/>
  <c r="Q69" i="40" s="1"/>
  <c r="N70" i="40"/>
  <c r="Q70" i="40" s="1"/>
  <c r="N71" i="40"/>
  <c r="Q71" i="40" s="1"/>
  <c r="R71" i="40" s="1"/>
  <c r="N72" i="40"/>
  <c r="Q72" i="40" s="1"/>
  <c r="N73" i="40"/>
  <c r="Q73" i="40" s="1"/>
  <c r="N74" i="40"/>
  <c r="Q74" i="40" s="1"/>
  <c r="R74" i="40" s="1"/>
  <c r="N75" i="40"/>
  <c r="Q75" i="40" s="1"/>
  <c r="N76" i="40"/>
  <c r="Q76" i="40" s="1"/>
  <c r="N77" i="40"/>
  <c r="Q77" i="40" s="1"/>
  <c r="N78" i="40"/>
  <c r="Q78" i="40" s="1"/>
  <c r="N79" i="40"/>
  <c r="Q79" i="40" s="1"/>
  <c r="N80" i="40"/>
  <c r="Q80" i="40" s="1"/>
  <c r="S71" i="40" l="1"/>
  <c r="T71" i="40" s="1"/>
  <c r="I60" i="40"/>
  <c r="J60" i="40"/>
  <c r="S60" i="40" s="1"/>
  <c r="T60" i="40" s="1"/>
  <c r="I66" i="40"/>
  <c r="J66" i="40" s="1"/>
  <c r="S66" i="40" s="1"/>
  <c r="T66" i="40" s="1"/>
  <c r="I45" i="40"/>
  <c r="J45" i="40"/>
  <c r="S45" i="40" s="1"/>
  <c r="T45" i="40" s="1"/>
  <c r="S67" i="40"/>
  <c r="T67" i="40" s="1"/>
  <c r="J67" i="40"/>
  <c r="I67" i="40"/>
  <c r="I64" i="40"/>
  <c r="J64" i="40"/>
  <c r="S64" i="40" s="1"/>
  <c r="T64" i="40" s="1"/>
  <c r="J79" i="40"/>
  <c r="S79" i="40" s="1"/>
  <c r="T79" i="40" s="1"/>
  <c r="I79" i="40"/>
  <c r="I75" i="40"/>
  <c r="J75" i="40" s="1"/>
  <c r="S75" i="40" s="1"/>
  <c r="T75" i="40" s="1"/>
  <c r="S4" i="40"/>
  <c r="T4" i="40" s="1"/>
  <c r="J4" i="40"/>
  <c r="I4" i="40"/>
  <c r="I76" i="40"/>
  <c r="J76" i="40" s="1"/>
  <c r="S76" i="40" s="1"/>
  <c r="T76" i="40" s="1"/>
  <c r="I42" i="40"/>
  <c r="J42" i="40" s="1"/>
  <c r="S42" i="40" s="1"/>
  <c r="T42" i="40" s="1"/>
  <c r="I72" i="40"/>
  <c r="J72" i="40" s="1"/>
  <c r="S72" i="40" s="1"/>
  <c r="T72" i="40" s="1"/>
  <c r="J73" i="40"/>
  <c r="I73" i="40"/>
  <c r="I40" i="40"/>
  <c r="J40" i="40" s="1"/>
  <c r="S40" i="40" s="1"/>
  <c r="T40" i="40" s="1"/>
  <c r="I61" i="40"/>
  <c r="J61" i="40"/>
  <c r="S61" i="40" s="1"/>
  <c r="T61" i="40" s="1"/>
  <c r="R72" i="40"/>
  <c r="I6" i="40"/>
  <c r="J6" i="40" s="1"/>
  <c r="S6" i="40" s="1"/>
  <c r="T6" i="40" s="1"/>
  <c r="G38" i="40"/>
  <c r="G78" i="40"/>
  <c r="G41" i="40"/>
  <c r="I48" i="40"/>
  <c r="J48" i="40"/>
  <c r="S48" i="40" s="1"/>
  <c r="T48" i="40" s="1"/>
  <c r="R79" i="40"/>
  <c r="I32" i="40"/>
  <c r="J32" i="40" s="1"/>
  <c r="S32" i="40" s="1"/>
  <c r="T32" i="40" s="1"/>
  <c r="R51" i="40"/>
  <c r="S51" i="40" s="1"/>
  <c r="T51" i="40" s="1"/>
  <c r="R48" i="40"/>
  <c r="O76" i="40"/>
  <c r="R76" i="40" s="1"/>
  <c r="I49" i="40"/>
  <c r="J49" i="40"/>
  <c r="S49" i="40" s="1"/>
  <c r="T49" i="40" s="1"/>
  <c r="I18" i="40"/>
  <c r="J18" i="40" s="1"/>
  <c r="S18" i="40" s="1"/>
  <c r="T18" i="40" s="1"/>
  <c r="I28" i="40"/>
  <c r="J28" i="40"/>
  <c r="S28" i="40" s="1"/>
  <c r="T28" i="40" s="1"/>
  <c r="R73" i="40"/>
  <c r="S73" i="40" s="1"/>
  <c r="T73" i="40" s="1"/>
  <c r="S24" i="40"/>
  <c r="T24" i="40" s="1"/>
  <c r="S13" i="40"/>
  <c r="T13" i="40" s="1"/>
  <c r="J70" i="40"/>
  <c r="S70" i="40" s="1"/>
  <c r="T70" i="40" s="1"/>
  <c r="I70" i="40"/>
  <c r="R45" i="40"/>
  <c r="I8" i="40"/>
  <c r="J8" i="40" s="1"/>
  <c r="S8" i="40" s="1"/>
  <c r="T8" i="40" s="1"/>
  <c r="I22" i="40"/>
  <c r="J22" i="40" s="1"/>
  <c r="S22" i="40" s="1"/>
  <c r="T22" i="40" s="1"/>
  <c r="R67" i="40"/>
  <c r="R66" i="40"/>
  <c r="R64" i="40"/>
  <c r="R44" i="40"/>
  <c r="S44" i="40" s="1"/>
  <c r="T44" i="40" s="1"/>
  <c r="S31" i="40"/>
  <c r="T31" i="40" s="1"/>
  <c r="I34" i="40"/>
  <c r="J34" i="40" s="1"/>
  <c r="S34" i="40" s="1"/>
  <c r="T34" i="40" s="1"/>
  <c r="G36" i="40"/>
  <c r="G21" i="40"/>
  <c r="R60" i="40"/>
  <c r="I20" i="40"/>
  <c r="J20" i="40" s="1"/>
  <c r="S20" i="40" s="1"/>
  <c r="T20" i="40" s="1"/>
  <c r="J30" i="40"/>
  <c r="S30" i="40" s="1"/>
  <c r="T30" i="40" s="1"/>
  <c r="I30" i="40"/>
  <c r="G11" i="40"/>
  <c r="I62" i="40"/>
  <c r="J62" i="40"/>
  <c r="S62" i="40" s="1"/>
  <c r="T62" i="40" s="1"/>
  <c r="R75" i="40"/>
  <c r="I21" i="40" l="1"/>
  <c r="J21" i="40" s="1"/>
  <c r="S21" i="40" s="1"/>
  <c r="T21" i="40" s="1"/>
  <c r="I36" i="40"/>
  <c r="J36" i="40" s="1"/>
  <c r="S36" i="40" s="1"/>
  <c r="T36" i="40" s="1"/>
  <c r="I11" i="40"/>
  <c r="J11" i="40" s="1"/>
  <c r="S11" i="40" s="1"/>
  <c r="T11" i="40" s="1"/>
  <c r="I41" i="40"/>
  <c r="J41" i="40" s="1"/>
  <c r="S41" i="40" s="1"/>
  <c r="T41" i="40" s="1"/>
  <c r="I78" i="40"/>
  <c r="J78" i="40" s="1"/>
  <c r="S78" i="40" s="1"/>
  <c r="T78" i="40" s="1"/>
  <c r="I38" i="40"/>
  <c r="J38" i="40" s="1"/>
  <c r="S38" i="40" s="1"/>
  <c r="T38" i="40" s="1"/>
  <c r="D81" i="39" l="1"/>
  <c r="D80" i="39"/>
  <c r="D79" i="39"/>
  <c r="D78" i="39"/>
  <c r="D77" i="39"/>
  <c r="D76" i="39"/>
  <c r="D75" i="39"/>
  <c r="D74" i="39"/>
  <c r="D73" i="39"/>
  <c r="D72" i="39"/>
  <c r="D71" i="39"/>
  <c r="D70" i="39"/>
  <c r="D69" i="39"/>
  <c r="D68" i="39"/>
  <c r="D67" i="39"/>
  <c r="D66" i="39"/>
  <c r="D65" i="39"/>
  <c r="D64" i="39"/>
  <c r="D63" i="39"/>
  <c r="D62" i="39"/>
  <c r="D61" i="39"/>
  <c r="D60" i="39"/>
  <c r="D59" i="39"/>
  <c r="D58" i="39"/>
  <c r="D57" i="39"/>
  <c r="D56" i="39"/>
  <c r="D55" i="39"/>
  <c r="D54" i="39"/>
  <c r="D53" i="39"/>
  <c r="D52" i="39"/>
  <c r="D51" i="39"/>
  <c r="D50" i="39"/>
  <c r="D49" i="39"/>
  <c r="D48" i="39"/>
  <c r="D47" i="39"/>
  <c r="D46" i="39"/>
  <c r="D45" i="39"/>
  <c r="D44" i="39"/>
  <c r="D43" i="39"/>
  <c r="D42" i="39"/>
  <c r="D41" i="39"/>
  <c r="D40" i="39"/>
  <c r="D39" i="39"/>
  <c r="D38" i="39"/>
  <c r="D37" i="39"/>
  <c r="D36" i="39"/>
  <c r="D35" i="39"/>
  <c r="D34" i="39"/>
  <c r="D33" i="39"/>
  <c r="D32" i="39"/>
  <c r="D31" i="39"/>
  <c r="D30" i="39"/>
  <c r="D29" i="39"/>
  <c r="D28" i="39"/>
  <c r="D27" i="39"/>
  <c r="D26" i="39"/>
  <c r="D25" i="39"/>
  <c r="D24" i="39"/>
  <c r="D23" i="39"/>
  <c r="D22" i="39"/>
  <c r="D21" i="39"/>
  <c r="D20" i="39"/>
  <c r="D19" i="39"/>
  <c r="D18" i="39"/>
  <c r="D17" i="39"/>
  <c r="D16" i="39"/>
  <c r="D15" i="39"/>
  <c r="D14" i="39"/>
  <c r="D13" i="39"/>
  <c r="D12" i="39"/>
  <c r="D11" i="39"/>
  <c r="D10" i="39"/>
  <c r="D9" i="39"/>
  <c r="D8" i="39"/>
  <c r="D7" i="39"/>
  <c r="D6" i="39"/>
  <c r="D5" i="39"/>
  <c r="D4" i="39"/>
  <c r="D3" i="39"/>
  <c r="D82" i="37" l="1"/>
  <c r="D81" i="37"/>
  <c r="D80" i="37"/>
  <c r="D79" i="37"/>
  <c r="D78" i="37"/>
  <c r="D77" i="37"/>
  <c r="D76" i="37"/>
  <c r="D75" i="37"/>
  <c r="D74" i="37"/>
  <c r="D73" i="37"/>
  <c r="D72" i="37"/>
  <c r="D71" i="37"/>
  <c r="D70" i="37"/>
  <c r="D69" i="37"/>
  <c r="D68" i="37"/>
  <c r="D67" i="37"/>
  <c r="D66" i="37"/>
  <c r="D65" i="37"/>
  <c r="D64" i="37"/>
  <c r="D63" i="37"/>
  <c r="D62" i="37"/>
  <c r="D61" i="37"/>
  <c r="D60" i="37"/>
  <c r="D59" i="37"/>
  <c r="D58" i="37"/>
  <c r="D57" i="37"/>
  <c r="D56" i="37"/>
  <c r="D55" i="37"/>
  <c r="D54" i="37"/>
  <c r="D53" i="37"/>
  <c r="D52" i="37"/>
  <c r="D51" i="37"/>
  <c r="D50" i="37"/>
  <c r="D49" i="37"/>
  <c r="D48" i="37"/>
  <c r="D47" i="37"/>
  <c r="D46" i="37"/>
  <c r="D45" i="37"/>
  <c r="D44" i="37"/>
  <c r="D43" i="37"/>
  <c r="D42" i="37"/>
  <c r="D41" i="37"/>
  <c r="D40" i="37"/>
  <c r="D39" i="37"/>
  <c r="D38" i="37"/>
  <c r="D37" i="37"/>
  <c r="D36" i="37"/>
  <c r="D35" i="37"/>
  <c r="D34" i="37"/>
  <c r="D33" i="37"/>
  <c r="D32" i="37"/>
  <c r="D31" i="37"/>
  <c r="D30" i="37"/>
  <c r="D29" i="37"/>
  <c r="D28" i="37"/>
  <c r="D27" i="37"/>
  <c r="D26" i="37"/>
  <c r="D25" i="37"/>
  <c r="D24" i="37"/>
  <c r="D23" i="37"/>
  <c r="D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C5" i="37"/>
  <c r="C4" i="37"/>
  <c r="E78" i="37" s="1"/>
  <c r="C2" i="37"/>
  <c r="C3" i="37" l="1"/>
  <c r="L78" i="37"/>
  <c r="K78" i="37"/>
  <c r="J78" i="37"/>
  <c r="I78" i="37"/>
  <c r="C6" i="37"/>
  <c r="E11" i="37"/>
  <c r="E17" i="37"/>
  <c r="E23" i="37"/>
  <c r="E29" i="37"/>
  <c r="E35" i="37"/>
  <c r="E41" i="37"/>
  <c r="E47" i="37"/>
  <c r="E53" i="37"/>
  <c r="E59" i="37"/>
  <c r="E65" i="37"/>
  <c r="E71" i="37"/>
  <c r="E77" i="37"/>
  <c r="E10" i="37"/>
  <c r="E16" i="37"/>
  <c r="E22" i="37"/>
  <c r="E28" i="37"/>
  <c r="E34" i="37"/>
  <c r="E40" i="37"/>
  <c r="E46" i="37"/>
  <c r="E52" i="37"/>
  <c r="E58" i="37"/>
  <c r="E64" i="37"/>
  <c r="E70" i="37"/>
  <c r="E76" i="37"/>
  <c r="E82" i="37"/>
  <c r="E15" i="37"/>
  <c r="E21" i="37"/>
  <c r="E27" i="37"/>
  <c r="E33" i="37"/>
  <c r="E39" i="37"/>
  <c r="E45" i="37"/>
  <c r="E51" i="37"/>
  <c r="E57" i="37"/>
  <c r="E63" i="37"/>
  <c r="E69" i="37"/>
  <c r="E75" i="37"/>
  <c r="E81" i="37"/>
  <c r="E14" i="37"/>
  <c r="E20" i="37"/>
  <c r="E26" i="37"/>
  <c r="E32" i="37"/>
  <c r="E38" i="37"/>
  <c r="E44" i="37"/>
  <c r="E50" i="37"/>
  <c r="E56" i="37"/>
  <c r="E62" i="37"/>
  <c r="E68" i="37"/>
  <c r="E74" i="37"/>
  <c r="E80" i="37"/>
  <c r="E13" i="37"/>
  <c r="E19" i="37"/>
  <c r="E25" i="37"/>
  <c r="E31" i="37"/>
  <c r="E37" i="37"/>
  <c r="E43" i="37"/>
  <c r="E49" i="37"/>
  <c r="E55" i="37"/>
  <c r="E61" i="37"/>
  <c r="E67" i="37"/>
  <c r="E73" i="37"/>
  <c r="E79" i="37"/>
  <c r="E12" i="37"/>
  <c r="E18" i="37"/>
  <c r="E24" i="37"/>
  <c r="E30" i="37"/>
  <c r="E36" i="37"/>
  <c r="E42" i="37"/>
  <c r="E48" i="37"/>
  <c r="E54" i="37"/>
  <c r="E60" i="37"/>
  <c r="E66" i="37"/>
  <c r="E72" i="37"/>
  <c r="I12" i="37" l="1"/>
  <c r="K12" i="37"/>
  <c r="K32" i="37"/>
  <c r="J32" i="37"/>
  <c r="I32" i="37"/>
  <c r="L32" i="37"/>
  <c r="K26" i="37"/>
  <c r="J26" i="37"/>
  <c r="I26" i="37"/>
  <c r="L26" i="37"/>
  <c r="L28" i="37"/>
  <c r="K28" i="37"/>
  <c r="J28" i="37"/>
  <c r="I28" i="37"/>
  <c r="L35" i="37"/>
  <c r="K35" i="37"/>
  <c r="J35" i="37"/>
  <c r="I35" i="37"/>
  <c r="I19" i="37"/>
  <c r="J19" i="37"/>
  <c r="L19" i="37"/>
  <c r="K19" i="37"/>
  <c r="K20" i="37"/>
  <c r="J20" i="37"/>
  <c r="I20" i="37"/>
  <c r="L20" i="37"/>
  <c r="L21" i="37"/>
  <c r="K21" i="37"/>
  <c r="J21" i="37"/>
  <c r="I21" i="37"/>
  <c r="L22" i="37"/>
  <c r="K22" i="37"/>
  <c r="J22" i="37"/>
  <c r="I22" i="37"/>
  <c r="L29" i="37"/>
  <c r="K29" i="37"/>
  <c r="J29" i="37"/>
  <c r="I29" i="37"/>
  <c r="I13" i="37"/>
  <c r="J13" i="37"/>
  <c r="L13" i="37"/>
  <c r="K13" i="37"/>
  <c r="K14" i="37"/>
  <c r="J14" i="37"/>
  <c r="I14" i="37"/>
  <c r="L14" i="37"/>
  <c r="L15" i="37"/>
  <c r="K15" i="37"/>
  <c r="J15" i="37"/>
  <c r="I15" i="37"/>
  <c r="L16" i="37"/>
  <c r="K16" i="37"/>
  <c r="J16" i="37"/>
  <c r="I16" i="37"/>
  <c r="L23" i="37"/>
  <c r="K23" i="37"/>
  <c r="J23" i="37"/>
  <c r="I23" i="37"/>
  <c r="I25" i="37"/>
  <c r="L25" i="37"/>
  <c r="J25" i="37"/>
  <c r="K25" i="37"/>
  <c r="L66" i="37"/>
  <c r="K66" i="37"/>
  <c r="J66" i="37"/>
  <c r="I66" i="37"/>
  <c r="K80" i="37"/>
  <c r="J80" i="37"/>
  <c r="I80" i="37"/>
  <c r="L80" i="37"/>
  <c r="L81" i="37"/>
  <c r="K81" i="37"/>
  <c r="J81" i="37"/>
  <c r="I81" i="37"/>
  <c r="L82" i="37"/>
  <c r="K82" i="37"/>
  <c r="J82" i="37"/>
  <c r="I82" i="37"/>
  <c r="L10" i="37"/>
  <c r="K10" i="37"/>
  <c r="J10" i="37"/>
  <c r="I10" i="37"/>
  <c r="L17" i="37"/>
  <c r="K17" i="37"/>
  <c r="J17" i="37"/>
  <c r="I17" i="37"/>
  <c r="L34" i="37"/>
  <c r="K34" i="37"/>
  <c r="J34" i="37"/>
  <c r="I34" i="37"/>
  <c r="I79" i="37"/>
  <c r="J79" i="37"/>
  <c r="L79" i="37"/>
  <c r="K79" i="37"/>
  <c r="L60" i="37"/>
  <c r="K60" i="37"/>
  <c r="J60" i="37"/>
  <c r="I60" i="37"/>
  <c r="I73" i="37"/>
  <c r="L73" i="37"/>
  <c r="J73" i="37"/>
  <c r="K73" i="37"/>
  <c r="K74" i="37"/>
  <c r="J74" i="37"/>
  <c r="I74" i="37"/>
  <c r="L74" i="37"/>
  <c r="L75" i="37"/>
  <c r="K75" i="37"/>
  <c r="J75" i="37"/>
  <c r="I75" i="37"/>
  <c r="L76" i="37"/>
  <c r="K76" i="37"/>
  <c r="J76" i="37"/>
  <c r="I76" i="37"/>
  <c r="L11" i="37"/>
  <c r="K11" i="37"/>
  <c r="J11" i="37"/>
  <c r="I11" i="37"/>
  <c r="L18" i="37"/>
  <c r="K18" i="37"/>
  <c r="J18" i="37"/>
  <c r="I18" i="37"/>
  <c r="L12" i="37"/>
  <c r="J12" i="37"/>
  <c r="L54" i="37"/>
  <c r="K54" i="37"/>
  <c r="J54" i="37"/>
  <c r="I54" i="37"/>
  <c r="I67" i="37"/>
  <c r="L67" i="37"/>
  <c r="K67" i="37"/>
  <c r="J67" i="37"/>
  <c r="K68" i="37"/>
  <c r="J68" i="37"/>
  <c r="I68" i="37"/>
  <c r="L68" i="37"/>
  <c r="L69" i="37"/>
  <c r="K69" i="37"/>
  <c r="J69" i="37"/>
  <c r="I69" i="37"/>
  <c r="L70" i="37"/>
  <c r="K70" i="37"/>
  <c r="J70" i="37"/>
  <c r="I70" i="37"/>
  <c r="L77" i="37"/>
  <c r="K77" i="37"/>
  <c r="J77" i="37"/>
  <c r="I77" i="37"/>
  <c r="L41" i="37"/>
  <c r="K41" i="37"/>
  <c r="J41" i="37"/>
  <c r="I41" i="37"/>
  <c r="L72" i="37"/>
  <c r="K72" i="37"/>
  <c r="J72" i="37"/>
  <c r="I72" i="37"/>
  <c r="I61" i="37"/>
  <c r="J61" i="37"/>
  <c r="L61" i="37"/>
  <c r="K61" i="37"/>
  <c r="L63" i="37"/>
  <c r="K63" i="37"/>
  <c r="J63" i="37"/>
  <c r="I63" i="37"/>
  <c r="L64" i="37"/>
  <c r="K64" i="37"/>
  <c r="J64" i="37"/>
  <c r="I64" i="37"/>
  <c r="L71" i="37"/>
  <c r="K71" i="37"/>
  <c r="J71" i="37"/>
  <c r="I71" i="37"/>
  <c r="M78" i="37"/>
  <c r="N78" i="37" s="1"/>
  <c r="O78" i="37" s="1"/>
  <c r="L33" i="37"/>
  <c r="K33" i="37"/>
  <c r="J33" i="37"/>
  <c r="I33" i="37"/>
  <c r="L27" i="37"/>
  <c r="K27" i="37"/>
  <c r="J27" i="37"/>
  <c r="I27" i="37"/>
  <c r="L48" i="37"/>
  <c r="K48" i="37"/>
  <c r="J48" i="37"/>
  <c r="I48" i="37"/>
  <c r="K62" i="37"/>
  <c r="J62" i="37"/>
  <c r="I62" i="37"/>
  <c r="L62" i="37"/>
  <c r="L42" i="37"/>
  <c r="K42" i="37"/>
  <c r="J42" i="37"/>
  <c r="I42" i="37"/>
  <c r="I55" i="37"/>
  <c r="L55" i="37"/>
  <c r="J55" i="37"/>
  <c r="K55" i="37"/>
  <c r="K56" i="37"/>
  <c r="J56" i="37"/>
  <c r="I56" i="37"/>
  <c r="L56" i="37"/>
  <c r="L57" i="37"/>
  <c r="K57" i="37"/>
  <c r="J57" i="37"/>
  <c r="I57" i="37"/>
  <c r="L58" i="37"/>
  <c r="K58" i="37"/>
  <c r="J58" i="37"/>
  <c r="I58" i="37"/>
  <c r="L65" i="37"/>
  <c r="K65" i="37"/>
  <c r="J65" i="37"/>
  <c r="I65" i="37"/>
  <c r="L36" i="37"/>
  <c r="K36" i="37"/>
  <c r="J36" i="37"/>
  <c r="I36" i="37"/>
  <c r="K50" i="37"/>
  <c r="J50" i="37"/>
  <c r="I50" i="37"/>
  <c r="L50" i="37"/>
  <c r="L51" i="37"/>
  <c r="K51" i="37"/>
  <c r="J51" i="37"/>
  <c r="I51" i="37"/>
  <c r="M51" i="37" s="1"/>
  <c r="N51" i="37" s="1"/>
  <c r="O51" i="37" s="1"/>
  <c r="L52" i="37"/>
  <c r="K52" i="37"/>
  <c r="J52" i="37"/>
  <c r="I52" i="37"/>
  <c r="L59" i="37"/>
  <c r="K59" i="37"/>
  <c r="J59" i="37"/>
  <c r="I59" i="37"/>
  <c r="I49" i="37"/>
  <c r="J49" i="37"/>
  <c r="L49" i="37"/>
  <c r="K49" i="37"/>
  <c r="L30" i="37"/>
  <c r="K30" i="37"/>
  <c r="J30" i="37"/>
  <c r="I30" i="37"/>
  <c r="I43" i="37"/>
  <c r="J43" i="37"/>
  <c r="L43" i="37"/>
  <c r="K43" i="37"/>
  <c r="K44" i="37"/>
  <c r="J44" i="37"/>
  <c r="I44" i="37"/>
  <c r="L44" i="37"/>
  <c r="L45" i="37"/>
  <c r="K45" i="37"/>
  <c r="J45" i="37"/>
  <c r="I45" i="37"/>
  <c r="L46" i="37"/>
  <c r="K46" i="37"/>
  <c r="J46" i="37"/>
  <c r="I46" i="37"/>
  <c r="L53" i="37"/>
  <c r="K53" i="37"/>
  <c r="J53" i="37"/>
  <c r="I53" i="37"/>
  <c r="I31" i="37"/>
  <c r="J31" i="37"/>
  <c r="L31" i="37"/>
  <c r="K31" i="37"/>
  <c r="L24" i="37"/>
  <c r="K24" i="37"/>
  <c r="J24" i="37"/>
  <c r="I24" i="37"/>
  <c r="I37" i="37"/>
  <c r="J37" i="37"/>
  <c r="L37" i="37"/>
  <c r="K37" i="37"/>
  <c r="K38" i="37"/>
  <c r="J38" i="37"/>
  <c r="I38" i="37"/>
  <c r="L38" i="37"/>
  <c r="L39" i="37"/>
  <c r="K39" i="37"/>
  <c r="J39" i="37"/>
  <c r="I39" i="37"/>
  <c r="L40" i="37"/>
  <c r="K40" i="37"/>
  <c r="J40" i="37"/>
  <c r="I40" i="37"/>
  <c r="L47" i="37"/>
  <c r="K47" i="37"/>
  <c r="J47" i="37"/>
  <c r="I47" i="37"/>
  <c r="M65" i="37" l="1"/>
  <c r="N65" i="37" s="1"/>
  <c r="O65" i="37" s="1"/>
  <c r="M53" i="37"/>
  <c r="N53" i="37" s="1"/>
  <c r="O53" i="37" s="1"/>
  <c r="M33" i="37"/>
  <c r="N33" i="37" s="1"/>
  <c r="O33" i="37" s="1"/>
  <c r="M14" i="37"/>
  <c r="N14" i="37" s="1"/>
  <c r="O14" i="37" s="1"/>
  <c r="M16" i="37"/>
  <c r="N16" i="37" s="1"/>
  <c r="O16" i="37" s="1"/>
  <c r="M75" i="37"/>
  <c r="N75" i="37" s="1"/>
  <c r="O75" i="37" s="1"/>
  <c r="M19" i="37"/>
  <c r="N19" i="37" s="1"/>
  <c r="O19" i="37" s="1"/>
  <c r="M67" i="37"/>
  <c r="N67" i="37" s="1"/>
  <c r="O67" i="37" s="1"/>
  <c r="M26" i="37"/>
  <c r="N26" i="37" s="1"/>
  <c r="O26" i="37" s="1"/>
  <c r="M54" i="37"/>
  <c r="N54" i="37" s="1"/>
  <c r="O54" i="37" s="1"/>
  <c r="M39" i="37"/>
  <c r="N39" i="37" s="1"/>
  <c r="O39" i="37" s="1"/>
  <c r="M74" i="37"/>
  <c r="N74" i="37" s="1"/>
  <c r="O74" i="37" s="1"/>
  <c r="M81" i="37"/>
  <c r="N81" i="37" s="1"/>
  <c r="O81" i="37" s="1"/>
  <c r="M13" i="37"/>
  <c r="N13" i="37" s="1"/>
  <c r="O13" i="37" s="1"/>
  <c r="M10" i="37"/>
  <c r="N10" i="37" s="1"/>
  <c r="O10" i="37" s="1"/>
  <c r="M29" i="37"/>
  <c r="N29" i="37" s="1"/>
  <c r="O29" i="37" s="1"/>
  <c r="M12" i="37"/>
  <c r="N12" i="37" s="1"/>
  <c r="O12" i="37" s="1"/>
  <c r="M34" i="37"/>
  <c r="N34" i="37" s="1"/>
  <c r="O34" i="37" s="1"/>
  <c r="M77" i="37"/>
  <c r="N77" i="37" s="1"/>
  <c r="O77" i="37" s="1"/>
  <c r="M61" i="37"/>
  <c r="N61" i="37" s="1"/>
  <c r="O61" i="37" s="1"/>
  <c r="M66" i="37"/>
  <c r="N66" i="37" s="1"/>
  <c r="O66" i="37" s="1"/>
  <c r="M31" i="37"/>
  <c r="N31" i="37" s="1"/>
  <c r="O31" i="37" s="1"/>
  <c r="M45" i="37"/>
  <c r="N45" i="37" s="1"/>
  <c r="O45" i="37" s="1"/>
  <c r="M59" i="37"/>
  <c r="N59" i="37" s="1"/>
  <c r="O59" i="37" s="1"/>
  <c r="M57" i="37"/>
  <c r="N57" i="37" s="1"/>
  <c r="O57" i="37" s="1"/>
  <c r="M48" i="37"/>
  <c r="N48" i="37" s="1"/>
  <c r="O48" i="37" s="1"/>
  <c r="M72" i="37"/>
  <c r="N72" i="37" s="1"/>
  <c r="O72" i="37" s="1"/>
  <c r="M79" i="37"/>
  <c r="N79" i="37" s="1"/>
  <c r="O79" i="37" s="1"/>
  <c r="M37" i="37"/>
  <c r="N37" i="37" s="1"/>
  <c r="O37" i="37" s="1"/>
  <c r="M30" i="37"/>
  <c r="N30" i="37" s="1"/>
  <c r="O30" i="37" s="1"/>
  <c r="M11" i="37"/>
  <c r="N11" i="37" s="1"/>
  <c r="O11" i="37" s="1"/>
  <c r="M73" i="37"/>
  <c r="N73" i="37" s="1"/>
  <c r="O73" i="37" s="1"/>
  <c r="M35" i="37"/>
  <c r="N35" i="37" s="1"/>
  <c r="O35" i="37" s="1"/>
  <c r="M47" i="37"/>
  <c r="N47" i="37" s="1"/>
  <c r="O47" i="37" s="1"/>
  <c r="M42" i="37"/>
  <c r="N42" i="37" s="1"/>
  <c r="O42" i="37" s="1"/>
  <c r="M24" i="37"/>
  <c r="N24" i="37" s="1"/>
  <c r="O24" i="37" s="1"/>
  <c r="M63" i="37"/>
  <c r="N63" i="37" s="1"/>
  <c r="O63" i="37" s="1"/>
  <c r="M70" i="37"/>
  <c r="N70" i="37" s="1"/>
  <c r="O70" i="37" s="1"/>
  <c r="M68" i="37"/>
  <c r="N68" i="37" s="1"/>
  <c r="O68" i="37" s="1"/>
  <c r="M60" i="37"/>
  <c r="N60" i="37" s="1"/>
  <c r="O60" i="37" s="1"/>
  <c r="M22" i="37"/>
  <c r="N22" i="37" s="1"/>
  <c r="O22" i="37" s="1"/>
  <c r="M20" i="37"/>
  <c r="N20" i="37" s="1"/>
  <c r="O20" i="37" s="1"/>
  <c r="M71" i="37"/>
  <c r="N71" i="37" s="1"/>
  <c r="O71" i="37" s="1"/>
  <c r="M52" i="37"/>
  <c r="N52" i="37" s="1"/>
  <c r="O52" i="37" s="1"/>
  <c r="M50" i="37"/>
  <c r="N50" i="37" s="1"/>
  <c r="O50" i="37" s="1"/>
  <c r="M41" i="37"/>
  <c r="N41" i="37" s="1"/>
  <c r="O41" i="37" s="1"/>
  <c r="M49" i="37"/>
  <c r="N49" i="37" s="1"/>
  <c r="O49" i="37" s="1"/>
  <c r="M43" i="37"/>
  <c r="N43" i="37" s="1"/>
  <c r="O43" i="37" s="1"/>
  <c r="M55" i="37"/>
  <c r="N55" i="37" s="1"/>
  <c r="O55" i="37" s="1"/>
  <c r="M46" i="37"/>
  <c r="N46" i="37" s="1"/>
  <c r="O46" i="37" s="1"/>
  <c r="M44" i="37"/>
  <c r="N44" i="37" s="1"/>
  <c r="O44" i="37" s="1"/>
  <c r="M58" i="37"/>
  <c r="N58" i="37" s="1"/>
  <c r="O58" i="37" s="1"/>
  <c r="M56" i="37"/>
  <c r="N56" i="37" s="1"/>
  <c r="O56" i="37" s="1"/>
  <c r="M27" i="37"/>
  <c r="N27" i="37" s="1"/>
  <c r="O27" i="37" s="1"/>
  <c r="M17" i="37"/>
  <c r="N17" i="37" s="1"/>
  <c r="O17" i="37" s="1"/>
  <c r="M28" i="37"/>
  <c r="N28" i="37" s="1"/>
  <c r="O28" i="37" s="1"/>
  <c r="M32" i="37"/>
  <c r="N32" i="37" s="1"/>
  <c r="O32" i="37" s="1"/>
  <c r="M40" i="37"/>
  <c r="N40" i="37" s="1"/>
  <c r="O40" i="37" s="1"/>
  <c r="M38" i="37"/>
  <c r="N38" i="37" s="1"/>
  <c r="O38" i="37" s="1"/>
  <c r="M76" i="37"/>
  <c r="N76" i="37" s="1"/>
  <c r="O76" i="37" s="1"/>
  <c r="M36" i="37"/>
  <c r="N36" i="37" s="1"/>
  <c r="O36" i="37" s="1"/>
  <c r="M82" i="37"/>
  <c r="N82" i="37" s="1"/>
  <c r="O82" i="37" s="1"/>
  <c r="M80" i="37"/>
  <c r="N80" i="37" s="1"/>
  <c r="O80" i="37" s="1"/>
  <c r="M25" i="37"/>
  <c r="N25" i="37" s="1"/>
  <c r="O25" i="37" s="1"/>
  <c r="M15" i="37"/>
  <c r="N15" i="37" s="1"/>
  <c r="O15" i="37" s="1"/>
  <c r="M62" i="37"/>
  <c r="N62" i="37" s="1"/>
  <c r="O62" i="37" s="1"/>
  <c r="M64" i="37"/>
  <c r="N64" i="37" s="1"/>
  <c r="O64" i="37" s="1"/>
  <c r="M69" i="37"/>
  <c r="N69" i="37" s="1"/>
  <c r="O69" i="37" s="1"/>
  <c r="M18" i="37"/>
  <c r="N18" i="37" s="1"/>
  <c r="O18" i="37" s="1"/>
  <c r="M23" i="37"/>
  <c r="N23" i="37" s="1"/>
  <c r="O23" i="37" s="1"/>
  <c r="M21" i="37"/>
  <c r="N21" i="37" s="1"/>
  <c r="O21" i="37" s="1"/>
  <c r="H6" i="35" l="1"/>
  <c r="H7" i="35"/>
  <c r="H8" i="35"/>
  <c r="H9" i="35"/>
  <c r="H10" i="35"/>
  <c r="H11" i="35"/>
  <c r="H12" i="35"/>
  <c r="H13" i="35"/>
  <c r="H14" i="35"/>
  <c r="H15" i="35"/>
  <c r="H16" i="35"/>
  <c r="H17" i="35"/>
  <c r="H18" i="35"/>
  <c r="H19" i="35"/>
  <c r="H20" i="35"/>
  <c r="H21" i="35"/>
  <c r="H22" i="35"/>
  <c r="H23" i="35"/>
  <c r="H24" i="35"/>
  <c r="H25" i="35"/>
  <c r="H26" i="35"/>
  <c r="H27" i="35"/>
  <c r="H28" i="35"/>
  <c r="H29" i="35"/>
  <c r="H30" i="35"/>
  <c r="H31" i="35"/>
  <c r="H32" i="35"/>
  <c r="H33" i="35"/>
  <c r="H34" i="35"/>
  <c r="H35" i="35"/>
  <c r="H36" i="35"/>
  <c r="H37" i="35"/>
  <c r="H38" i="35"/>
  <c r="H39" i="35"/>
  <c r="H40" i="35"/>
  <c r="H41" i="35"/>
  <c r="H42" i="35"/>
  <c r="H43" i="35"/>
  <c r="H44" i="35"/>
  <c r="H45" i="35"/>
  <c r="H46" i="35"/>
  <c r="H47" i="35"/>
  <c r="H48" i="35"/>
  <c r="H49" i="35"/>
  <c r="H50" i="35"/>
  <c r="H51" i="35"/>
  <c r="H52" i="35"/>
  <c r="H53" i="35"/>
  <c r="H54" i="35"/>
  <c r="H55" i="35"/>
  <c r="H56" i="35"/>
  <c r="H57" i="35"/>
  <c r="H58" i="35"/>
  <c r="H59" i="35"/>
  <c r="H60" i="35"/>
  <c r="H61" i="35"/>
  <c r="H62" i="35"/>
  <c r="H63" i="35"/>
  <c r="H64" i="35"/>
  <c r="H65" i="35"/>
  <c r="H66" i="35"/>
  <c r="H67" i="35"/>
  <c r="H68" i="35"/>
  <c r="H69" i="35"/>
  <c r="H70" i="35"/>
  <c r="H71" i="35"/>
  <c r="H72" i="35"/>
  <c r="H73" i="35"/>
  <c r="H74" i="35"/>
  <c r="H75" i="35"/>
  <c r="H76" i="35"/>
  <c r="H78" i="35"/>
  <c r="H5" i="35"/>
  <c r="C4" i="32"/>
  <c r="C4" i="31"/>
  <c r="C4" i="30"/>
  <c r="AG4" i="28"/>
  <c r="AI4" i="28"/>
  <c r="N4" i="28"/>
  <c r="H4" i="28"/>
  <c r="E3" i="23"/>
  <c r="E4" i="23"/>
  <c r="E5" i="23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49" i="23"/>
  <c r="E50" i="23"/>
  <c r="E51" i="23"/>
  <c r="E52" i="23"/>
  <c r="E53" i="23"/>
  <c r="E54" i="23"/>
  <c r="E55" i="23"/>
  <c r="E56" i="23"/>
  <c r="E57" i="23"/>
  <c r="E58" i="23"/>
  <c r="E59" i="23"/>
  <c r="E60" i="23"/>
  <c r="E61" i="23"/>
  <c r="E62" i="23"/>
  <c r="E63" i="23"/>
  <c r="E64" i="23"/>
  <c r="E65" i="23"/>
  <c r="E66" i="23"/>
  <c r="E67" i="23"/>
  <c r="E68" i="23"/>
  <c r="E69" i="23"/>
  <c r="E70" i="23"/>
  <c r="E71" i="23"/>
  <c r="E72" i="23"/>
  <c r="E73" i="23"/>
  <c r="E74" i="23"/>
  <c r="E75" i="23"/>
  <c r="E76" i="23"/>
  <c r="E77" i="23"/>
  <c r="E78" i="23"/>
  <c r="E79" i="23"/>
  <c r="E80" i="23"/>
  <c r="E81" i="23"/>
  <c r="E82" i="23"/>
  <c r="E83" i="23"/>
  <c r="E84" i="23"/>
  <c r="E85" i="23"/>
  <c r="E86" i="23"/>
  <c r="E87" i="23"/>
  <c r="E88" i="23"/>
  <c r="E89" i="23"/>
  <c r="E90" i="23"/>
  <c r="E91" i="23"/>
  <c r="E92" i="23"/>
  <c r="E93" i="23"/>
  <c r="E94" i="23"/>
  <c r="E95" i="23"/>
  <c r="E96" i="23"/>
  <c r="E97" i="23"/>
  <c r="E98" i="23"/>
  <c r="E99" i="23"/>
  <c r="E100" i="23"/>
  <c r="E101" i="23"/>
  <c r="E102" i="23"/>
  <c r="E103" i="23"/>
  <c r="E104" i="23"/>
  <c r="E105" i="23"/>
  <c r="E106" i="23"/>
  <c r="E107" i="23"/>
  <c r="E108" i="23"/>
  <c r="E109" i="23"/>
  <c r="E110" i="23"/>
  <c r="E111" i="23"/>
  <c r="E112" i="23"/>
  <c r="E113" i="23"/>
  <c r="E114" i="23"/>
  <c r="E115" i="23"/>
  <c r="E116" i="23"/>
  <c r="E117" i="23"/>
  <c r="E118" i="23"/>
  <c r="E119" i="23"/>
  <c r="E120" i="23"/>
  <c r="E121" i="23"/>
  <c r="E122" i="23"/>
  <c r="E123" i="23"/>
  <c r="E124" i="23"/>
  <c r="E125" i="23"/>
  <c r="E126" i="23"/>
  <c r="E127" i="23"/>
  <c r="E128" i="23"/>
  <c r="E129" i="23"/>
  <c r="E130" i="23"/>
  <c r="E131" i="23"/>
  <c r="E132" i="23"/>
  <c r="E133" i="23"/>
  <c r="E134" i="23"/>
  <c r="E135" i="23"/>
  <c r="E136" i="23"/>
  <c r="E137" i="23"/>
  <c r="E138" i="23"/>
  <c r="E139" i="23"/>
  <c r="E140" i="23"/>
  <c r="E141" i="23"/>
  <c r="E142" i="23"/>
  <c r="E143" i="23"/>
  <c r="E144" i="23"/>
  <c r="E145" i="23"/>
  <c r="E146" i="23"/>
  <c r="E147" i="23"/>
  <c r="E148" i="23"/>
  <c r="E149" i="23"/>
  <c r="E150" i="23"/>
  <c r="E151" i="23"/>
  <c r="E152" i="23"/>
  <c r="E153" i="23"/>
  <c r="E154" i="23"/>
  <c r="E155" i="23"/>
  <c r="E156" i="23"/>
  <c r="E157" i="23"/>
  <c r="E158" i="23"/>
  <c r="E159" i="23"/>
  <c r="E160" i="23"/>
  <c r="E161" i="23"/>
  <c r="E162" i="23"/>
  <c r="E163" i="23"/>
  <c r="E164" i="23"/>
  <c r="E165" i="23"/>
  <c r="E166" i="23"/>
  <c r="E167" i="23"/>
  <c r="E168" i="23"/>
  <c r="E169" i="23"/>
  <c r="E170" i="23"/>
  <c r="E171" i="23"/>
  <c r="E172" i="23"/>
  <c r="E173" i="23"/>
  <c r="E174" i="23"/>
  <c r="E175" i="23"/>
  <c r="E176" i="23"/>
  <c r="E177" i="23"/>
  <c r="E178" i="23"/>
  <c r="E179" i="23"/>
  <c r="E180" i="23"/>
  <c r="E181" i="23"/>
  <c r="E182" i="23"/>
  <c r="E183" i="23"/>
  <c r="E184" i="23"/>
  <c r="E185" i="23"/>
  <c r="E186" i="23"/>
  <c r="E187" i="23"/>
  <c r="E188" i="23"/>
  <c r="E189" i="23"/>
  <c r="E190" i="23"/>
  <c r="E191" i="23"/>
  <c r="E192" i="23"/>
  <c r="E193" i="23"/>
  <c r="E194" i="23"/>
  <c r="E195" i="23"/>
  <c r="E196" i="23"/>
  <c r="E197" i="23"/>
  <c r="E198" i="23"/>
  <c r="E199" i="23"/>
  <c r="E200" i="23"/>
  <c r="E201" i="23"/>
  <c r="E202" i="23"/>
  <c r="E203" i="23"/>
  <c r="E204" i="23"/>
  <c r="E205" i="23"/>
  <c r="E206" i="23"/>
  <c r="E207" i="23"/>
  <c r="E208" i="23"/>
  <c r="E209" i="23"/>
  <c r="E210" i="23"/>
  <c r="E211" i="23"/>
  <c r="E212" i="23"/>
  <c r="E213" i="23"/>
  <c r="E214" i="23"/>
  <c r="E215" i="23"/>
  <c r="E216" i="23"/>
  <c r="E217" i="23"/>
  <c r="E218" i="23"/>
  <c r="E219" i="23"/>
  <c r="E220" i="23"/>
  <c r="E221" i="23"/>
  <c r="E222" i="23"/>
  <c r="E223" i="23"/>
  <c r="E224" i="23"/>
  <c r="E225" i="23"/>
  <c r="E2" i="23"/>
  <c r="E4" i="22"/>
  <c r="E5" i="22"/>
  <c r="E6" i="22"/>
  <c r="E7" i="22"/>
  <c r="E8" i="22"/>
  <c r="E9" i="22"/>
  <c r="E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5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E64" i="22"/>
  <c r="E65" i="22"/>
  <c r="E66" i="22"/>
  <c r="E67" i="22"/>
  <c r="E68" i="22"/>
  <c r="E69" i="22"/>
  <c r="E70" i="22"/>
  <c r="E71" i="22"/>
  <c r="E72" i="22"/>
  <c r="E73" i="22"/>
  <c r="E74" i="22"/>
  <c r="E75" i="22"/>
  <c r="E76" i="22"/>
  <c r="E77" i="22"/>
  <c r="E78" i="22"/>
  <c r="E79" i="22"/>
  <c r="E3" i="22"/>
  <c r="M59" i="35" l="1"/>
  <c r="P6" i="35"/>
  <c r="P7" i="35"/>
  <c r="P8" i="35"/>
  <c r="P9" i="35"/>
  <c r="P10" i="35"/>
  <c r="P11" i="35"/>
  <c r="P12" i="35"/>
  <c r="P13" i="35"/>
  <c r="P14" i="35"/>
  <c r="P15" i="35"/>
  <c r="P16" i="35"/>
  <c r="P17" i="35"/>
  <c r="P18" i="35"/>
  <c r="P19" i="35"/>
  <c r="P20" i="35"/>
  <c r="P21" i="35"/>
  <c r="P22" i="35"/>
  <c r="P23" i="35"/>
  <c r="P24" i="35"/>
  <c r="P25" i="35"/>
  <c r="P26" i="35"/>
  <c r="P27" i="35"/>
  <c r="P28" i="35"/>
  <c r="P29" i="35"/>
  <c r="P30" i="35"/>
  <c r="P31" i="35"/>
  <c r="P32" i="35"/>
  <c r="P33" i="35"/>
  <c r="P34" i="35"/>
  <c r="P35" i="35"/>
  <c r="P36" i="35"/>
  <c r="P37" i="35"/>
  <c r="P38" i="35"/>
  <c r="P39" i="35"/>
  <c r="P40" i="35"/>
  <c r="P41" i="35"/>
  <c r="P42" i="35"/>
  <c r="P43" i="35"/>
  <c r="P44" i="35"/>
  <c r="P45" i="35"/>
  <c r="P46" i="35"/>
  <c r="P47" i="35"/>
  <c r="P48" i="35"/>
  <c r="P49" i="35"/>
  <c r="P50" i="35"/>
  <c r="P51" i="35"/>
  <c r="P52" i="35"/>
  <c r="P53" i="35"/>
  <c r="P54" i="35"/>
  <c r="P55" i="35"/>
  <c r="P56" i="35"/>
  <c r="P57" i="35"/>
  <c r="P58" i="35"/>
  <c r="P59" i="35"/>
  <c r="P60" i="35"/>
  <c r="P61" i="35"/>
  <c r="P62" i="35"/>
  <c r="P63" i="35"/>
  <c r="P64" i="35"/>
  <c r="P65" i="35"/>
  <c r="P66" i="35"/>
  <c r="P67" i="35"/>
  <c r="P68" i="35"/>
  <c r="P69" i="35"/>
  <c r="P70" i="35"/>
  <c r="P71" i="35"/>
  <c r="P72" i="35"/>
  <c r="P73" i="35"/>
  <c r="P74" i="35"/>
  <c r="P75" i="35"/>
  <c r="P76" i="35"/>
  <c r="P77" i="35"/>
  <c r="P78" i="35"/>
  <c r="P79" i="35"/>
  <c r="P80" i="35"/>
  <c r="P81" i="35"/>
  <c r="M6" i="35"/>
  <c r="M7" i="35"/>
  <c r="M8" i="35"/>
  <c r="M9" i="35"/>
  <c r="M10" i="35"/>
  <c r="M11" i="35"/>
  <c r="M12" i="35"/>
  <c r="M13" i="35"/>
  <c r="M14" i="35"/>
  <c r="M15" i="35"/>
  <c r="M16" i="35"/>
  <c r="M17" i="35"/>
  <c r="M18" i="35"/>
  <c r="M19" i="35"/>
  <c r="M20" i="35"/>
  <c r="M21" i="35"/>
  <c r="M22" i="35"/>
  <c r="M23" i="35"/>
  <c r="M24" i="35"/>
  <c r="M25" i="35"/>
  <c r="M26" i="35"/>
  <c r="M27" i="35"/>
  <c r="M28" i="35"/>
  <c r="M29" i="35"/>
  <c r="M30" i="35"/>
  <c r="M31" i="35"/>
  <c r="M32" i="35"/>
  <c r="M33" i="35"/>
  <c r="M34" i="35"/>
  <c r="M35" i="35"/>
  <c r="M36" i="35"/>
  <c r="M37" i="35"/>
  <c r="M38" i="35"/>
  <c r="M39" i="35"/>
  <c r="M40" i="35"/>
  <c r="M41" i="35"/>
  <c r="M42" i="35"/>
  <c r="M43" i="35"/>
  <c r="M44" i="35"/>
  <c r="M45" i="35"/>
  <c r="M46" i="35"/>
  <c r="M47" i="35"/>
  <c r="M48" i="35"/>
  <c r="M49" i="35"/>
  <c r="M50" i="35"/>
  <c r="M51" i="35"/>
  <c r="M52" i="35"/>
  <c r="M53" i="35"/>
  <c r="M54" i="35"/>
  <c r="M55" i="35"/>
  <c r="M56" i="35"/>
  <c r="M57" i="35"/>
  <c r="M58" i="35"/>
  <c r="M60" i="35"/>
  <c r="M61" i="35"/>
  <c r="M62" i="35"/>
  <c r="M63" i="35"/>
  <c r="M64" i="35"/>
  <c r="M65" i="35"/>
  <c r="M66" i="35"/>
  <c r="M67" i="35"/>
  <c r="M68" i="35"/>
  <c r="M69" i="35"/>
  <c r="M70" i="35"/>
  <c r="M71" i="35"/>
  <c r="M72" i="35"/>
  <c r="M73" i="35"/>
  <c r="M74" i="35"/>
  <c r="M75" i="35"/>
  <c r="M76" i="35"/>
  <c r="M77" i="35"/>
  <c r="Q77" i="35" s="1"/>
  <c r="M78" i="35"/>
  <c r="M79" i="35"/>
  <c r="Q79" i="35" s="1"/>
  <c r="M80" i="35"/>
  <c r="Q80" i="35" s="1"/>
  <c r="M81" i="35"/>
  <c r="Q81" i="35" s="1"/>
  <c r="Q65" i="35"/>
  <c r="Q66" i="35"/>
  <c r="Q70" i="35"/>
  <c r="Q71" i="35"/>
  <c r="Q73" i="35"/>
  <c r="Q74" i="35"/>
  <c r="Q75" i="35"/>
  <c r="Q78" i="35"/>
  <c r="Q6" i="35"/>
  <c r="Q9" i="35"/>
  <c r="Q10" i="35"/>
  <c r="Q12" i="35"/>
  <c r="Q13" i="35"/>
  <c r="Q14" i="35"/>
  <c r="Q15" i="35"/>
  <c r="Q17" i="35"/>
  <c r="Q18" i="35"/>
  <c r="Q21" i="35"/>
  <c r="Q22" i="35"/>
  <c r="Q24" i="35"/>
  <c r="Q25" i="35"/>
  <c r="Q26" i="35"/>
  <c r="Q27" i="35"/>
  <c r="Q29" i="35"/>
  <c r="Q30" i="35"/>
  <c r="Q33" i="35"/>
  <c r="Q34" i="35"/>
  <c r="Q36" i="35"/>
  <c r="Q37" i="35"/>
  <c r="Q38" i="35"/>
  <c r="Q39" i="35"/>
  <c r="Q41" i="35"/>
  <c r="Q42" i="35"/>
  <c r="Q45" i="35"/>
  <c r="Q46" i="35"/>
  <c r="Q48" i="35"/>
  <c r="Q49" i="35"/>
  <c r="Q50" i="35"/>
  <c r="Q51" i="35"/>
  <c r="Q53" i="35"/>
  <c r="Q54" i="35"/>
  <c r="Q57" i="35"/>
  <c r="Q58" i="35"/>
  <c r="Q59" i="35"/>
  <c r="Q61" i="35"/>
  <c r="Q62" i="35"/>
  <c r="Q63" i="35"/>
  <c r="Q40" i="35" l="1"/>
  <c r="Q28" i="35"/>
  <c r="Q16" i="35"/>
  <c r="Q76" i="35"/>
  <c r="Q64" i="35"/>
  <c r="Q52" i="35"/>
  <c r="Q72" i="35"/>
  <c r="Q47" i="35"/>
  <c r="Q35" i="35"/>
  <c r="Q23" i="35"/>
  <c r="Q11" i="35"/>
  <c r="Q69" i="35"/>
  <c r="Q56" i="35"/>
  <c r="Q20" i="35"/>
  <c r="Q68" i="35"/>
  <c r="Q60" i="35"/>
  <c r="Q44" i="35"/>
  <c r="Q32" i="35"/>
  <c r="Q8" i="35"/>
  <c r="Q55" i="35"/>
  <c r="Q43" i="35"/>
  <c r="Q31" i="35"/>
  <c r="Q19" i="35"/>
  <c r="Q7" i="35"/>
  <c r="Q67" i="35"/>
  <c r="R5" i="35"/>
  <c r="Q4" i="36"/>
  <c r="Q5" i="36"/>
  <c r="Q6" i="36"/>
  <c r="Q7" i="36"/>
  <c r="Q8" i="36"/>
  <c r="Q9" i="36"/>
  <c r="Q10" i="36"/>
  <c r="Q11" i="36"/>
  <c r="Q12" i="36"/>
  <c r="Q13" i="36"/>
  <c r="Q14" i="36"/>
  <c r="Q15" i="36"/>
  <c r="Q16" i="36"/>
  <c r="Q17" i="36"/>
  <c r="Q18" i="36"/>
  <c r="Q19" i="36"/>
  <c r="Q20" i="36"/>
  <c r="Q21" i="36"/>
  <c r="Q22" i="36"/>
  <c r="Q23" i="36"/>
  <c r="Q24" i="36"/>
  <c r="Q25" i="36"/>
  <c r="Q26" i="36"/>
  <c r="Q27" i="36"/>
  <c r="Q28" i="36"/>
  <c r="Q29" i="36"/>
  <c r="Q30" i="36"/>
  <c r="Q31" i="36"/>
  <c r="Q32" i="36"/>
  <c r="Q33" i="36"/>
  <c r="Q34" i="36"/>
  <c r="Q35" i="36"/>
  <c r="Q36" i="36"/>
  <c r="Q37" i="36"/>
  <c r="Q38" i="36"/>
  <c r="Q39" i="36"/>
  <c r="Q40" i="36"/>
  <c r="Q41" i="36"/>
  <c r="Q42" i="36"/>
  <c r="Q43" i="36"/>
  <c r="Q44" i="36"/>
  <c r="Q45" i="36"/>
  <c r="Q46" i="36"/>
  <c r="Q47" i="36"/>
  <c r="Q48" i="36"/>
  <c r="Q49" i="36"/>
  <c r="Q50" i="36"/>
  <c r="Q51" i="36"/>
  <c r="Q52" i="36"/>
  <c r="Q53" i="36"/>
  <c r="Q54" i="36"/>
  <c r="Q55" i="36"/>
  <c r="Q56" i="36"/>
  <c r="Q57" i="36"/>
  <c r="Q58" i="36"/>
  <c r="Q59" i="36"/>
  <c r="Q60" i="36"/>
  <c r="Q61" i="36"/>
  <c r="Q62" i="36"/>
  <c r="Q63" i="36"/>
  <c r="Q64" i="36"/>
  <c r="Q65" i="36"/>
  <c r="Q66" i="36"/>
  <c r="Q67" i="36"/>
  <c r="Q68" i="36"/>
  <c r="Q69" i="36"/>
  <c r="Q70" i="36"/>
  <c r="Q71" i="36"/>
  <c r="Q72" i="36"/>
  <c r="Q73" i="36"/>
  <c r="Q74" i="36"/>
  <c r="Q75" i="36"/>
  <c r="Q76" i="36"/>
  <c r="Q77" i="36"/>
  <c r="Q78" i="36"/>
  <c r="Q79" i="36"/>
  <c r="Q80" i="36"/>
  <c r="Q81" i="36"/>
  <c r="Q82" i="36"/>
  <c r="Q83" i="36"/>
  <c r="Q84" i="36"/>
  <c r="Q85" i="36"/>
  <c r="Q86" i="36"/>
  <c r="Q87" i="36"/>
  <c r="Q88" i="36"/>
  <c r="Q89" i="36"/>
  <c r="Q90" i="36"/>
  <c r="Q91" i="36"/>
  <c r="Q92" i="36"/>
  <c r="Q93" i="36"/>
  <c r="Q94" i="36"/>
  <c r="Q95" i="36"/>
  <c r="Q96" i="36"/>
  <c r="Q97" i="36"/>
  <c r="Q98" i="36"/>
  <c r="Q99" i="36"/>
  <c r="Q100" i="36"/>
  <c r="Q101" i="36"/>
  <c r="Q102" i="36"/>
  <c r="Q103" i="36"/>
  <c r="Q104" i="36"/>
  <c r="Q105" i="36"/>
  <c r="Q106" i="36"/>
  <c r="Q107" i="36"/>
  <c r="Q108" i="36"/>
  <c r="Q109" i="36"/>
  <c r="Q110" i="36"/>
  <c r="Q112" i="36"/>
  <c r="Q113" i="36"/>
  <c r="Q114" i="36"/>
  <c r="Q115" i="36"/>
  <c r="Q116" i="36"/>
  <c r="Q117" i="36"/>
  <c r="Q118" i="36"/>
  <c r="Q119" i="36"/>
  <c r="Q120" i="36"/>
  <c r="Q121" i="36"/>
  <c r="Q122" i="36"/>
  <c r="Q123" i="36"/>
  <c r="Q124" i="36"/>
  <c r="Q125" i="36"/>
  <c r="Q126" i="36"/>
  <c r="Q127" i="36"/>
  <c r="Q128" i="36"/>
  <c r="Q129" i="36"/>
  <c r="Q130" i="36"/>
  <c r="Q131" i="36"/>
  <c r="Q132" i="36"/>
  <c r="Q133" i="36"/>
  <c r="Q134" i="36"/>
  <c r="Q135" i="36"/>
  <c r="Q136" i="36"/>
  <c r="Q137" i="36"/>
  <c r="Q138" i="36"/>
  <c r="Q139" i="36"/>
  <c r="Q140" i="36"/>
  <c r="Q141" i="36"/>
  <c r="Q142" i="36"/>
  <c r="Q143" i="36"/>
  <c r="Q144" i="36"/>
  <c r="Q145" i="36"/>
  <c r="Q146" i="36"/>
  <c r="Q147" i="36"/>
  <c r="Q148" i="36"/>
  <c r="Q149" i="36"/>
  <c r="Q150" i="36"/>
  <c r="Q151" i="36"/>
  <c r="Q152" i="36"/>
  <c r="Q153" i="36"/>
  <c r="Q154" i="36"/>
  <c r="Q155" i="36"/>
  <c r="Q156" i="36"/>
  <c r="Q157" i="36"/>
  <c r="Q158" i="36"/>
  <c r="Q159" i="36"/>
  <c r="Q160" i="36"/>
  <c r="Q161" i="36"/>
  <c r="Q162" i="36"/>
  <c r="Q163" i="36"/>
  <c r="Q164" i="36"/>
  <c r="Q165" i="36"/>
  <c r="Q166" i="36"/>
  <c r="Q167" i="36"/>
  <c r="Q168" i="36"/>
  <c r="Q169" i="36"/>
  <c r="Q170" i="36"/>
  <c r="Q171" i="36"/>
  <c r="Q172" i="36"/>
  <c r="Q173" i="36"/>
  <c r="Q174" i="36"/>
  <c r="Q175" i="36"/>
  <c r="Q176" i="36"/>
  <c r="Q177" i="36"/>
  <c r="Q178" i="36"/>
  <c r="Q179" i="36"/>
  <c r="Q180" i="36"/>
  <c r="Q181" i="36"/>
  <c r="Q182" i="36"/>
  <c r="Q183" i="36"/>
  <c r="Q184" i="36"/>
  <c r="Q185" i="36"/>
  <c r="Q186" i="36"/>
  <c r="Q187" i="36"/>
  <c r="Q188" i="36"/>
  <c r="Q189" i="36"/>
  <c r="Q190" i="36"/>
  <c r="Q191" i="36"/>
  <c r="Q192" i="36"/>
  <c r="Q193" i="36"/>
  <c r="Q194" i="36"/>
  <c r="Q195" i="36"/>
  <c r="Q196" i="36"/>
  <c r="Q197" i="36"/>
  <c r="Q198" i="36"/>
  <c r="Q199" i="36"/>
  <c r="Q200" i="36"/>
  <c r="Q201" i="36"/>
  <c r="Q202" i="36"/>
  <c r="Q203" i="36"/>
  <c r="Q204" i="36"/>
  <c r="Q205" i="36"/>
  <c r="Q206" i="36"/>
  <c r="Q207" i="36"/>
  <c r="Q208" i="36"/>
  <c r="Q209" i="36"/>
  <c r="Q210" i="36"/>
  <c r="Q211" i="36"/>
  <c r="Q212" i="36"/>
  <c r="Q214" i="36"/>
  <c r="Q215" i="36"/>
  <c r="Q216" i="36"/>
  <c r="Q217" i="36"/>
  <c r="Q218" i="36"/>
  <c r="Q219" i="36"/>
  <c r="Q220" i="36"/>
  <c r="Q221" i="36"/>
  <c r="Q222" i="36"/>
  <c r="Q223" i="36"/>
  <c r="Q224" i="36"/>
  <c r="Q225" i="36"/>
  <c r="Q226" i="36"/>
  <c r="X227" i="36"/>
  <c r="W227" i="36"/>
  <c r="T227" i="36"/>
  <c r="G227" i="36"/>
  <c r="Y227" i="36" s="1"/>
  <c r="Z227" i="36" s="1"/>
  <c r="X226" i="36"/>
  <c r="W226" i="36"/>
  <c r="T226" i="36"/>
  <c r="L226" i="36"/>
  <c r="G226" i="36"/>
  <c r="X225" i="36"/>
  <c r="W225" i="36"/>
  <c r="T225" i="36"/>
  <c r="L225" i="36"/>
  <c r="G225" i="36"/>
  <c r="X224" i="36"/>
  <c r="W224" i="36"/>
  <c r="T224" i="36"/>
  <c r="L224" i="36"/>
  <c r="G224" i="36"/>
  <c r="X223" i="36"/>
  <c r="W223" i="36"/>
  <c r="T223" i="36"/>
  <c r="L223" i="36"/>
  <c r="G223" i="36"/>
  <c r="X222" i="36"/>
  <c r="W222" i="36"/>
  <c r="T222" i="36"/>
  <c r="L222" i="36"/>
  <c r="G222" i="36"/>
  <c r="X221" i="36"/>
  <c r="W221" i="36"/>
  <c r="T221" i="36"/>
  <c r="L221" i="36"/>
  <c r="G221" i="36"/>
  <c r="X220" i="36"/>
  <c r="W220" i="36"/>
  <c r="T220" i="36"/>
  <c r="L220" i="36"/>
  <c r="G220" i="36"/>
  <c r="X219" i="36"/>
  <c r="W219" i="36"/>
  <c r="T219" i="36"/>
  <c r="L219" i="36"/>
  <c r="G219" i="36"/>
  <c r="X218" i="36"/>
  <c r="W218" i="36"/>
  <c r="T218" i="36"/>
  <c r="L218" i="36"/>
  <c r="G218" i="36"/>
  <c r="X217" i="36"/>
  <c r="W217" i="36"/>
  <c r="T217" i="36"/>
  <c r="L217" i="36"/>
  <c r="G217" i="36"/>
  <c r="X216" i="36"/>
  <c r="W216" i="36"/>
  <c r="T216" i="36"/>
  <c r="L216" i="36"/>
  <c r="G216" i="36"/>
  <c r="X215" i="36"/>
  <c r="W215" i="36"/>
  <c r="T215" i="36"/>
  <c r="L215" i="36"/>
  <c r="G215" i="36"/>
  <c r="X214" i="36"/>
  <c r="W214" i="36"/>
  <c r="T214" i="36"/>
  <c r="L214" i="36"/>
  <c r="G214" i="36"/>
  <c r="X213" i="36"/>
  <c r="W213" i="36"/>
  <c r="T213" i="36"/>
  <c r="G213" i="36"/>
  <c r="Y213" i="36" s="1"/>
  <c r="Z213" i="36" s="1"/>
  <c r="X212" i="36"/>
  <c r="W212" i="36"/>
  <c r="T212" i="36"/>
  <c r="L212" i="36"/>
  <c r="G212" i="36"/>
  <c r="X211" i="36"/>
  <c r="W211" i="36"/>
  <c r="T211" i="36"/>
  <c r="L211" i="36"/>
  <c r="G211" i="36"/>
  <c r="X210" i="36"/>
  <c r="W210" i="36"/>
  <c r="T210" i="36"/>
  <c r="L210" i="36"/>
  <c r="G210" i="36"/>
  <c r="Y210" i="36" s="1"/>
  <c r="Z210" i="36" s="1"/>
  <c r="X209" i="36"/>
  <c r="W209" i="36"/>
  <c r="T209" i="36"/>
  <c r="L209" i="36"/>
  <c r="Y209" i="36" s="1"/>
  <c r="G209" i="36"/>
  <c r="X208" i="36"/>
  <c r="W208" i="36"/>
  <c r="T208" i="36"/>
  <c r="L208" i="36"/>
  <c r="G208" i="36"/>
  <c r="X207" i="36"/>
  <c r="W207" i="36"/>
  <c r="T207" i="36"/>
  <c r="L207" i="36"/>
  <c r="G207" i="36"/>
  <c r="X206" i="36"/>
  <c r="W206" i="36"/>
  <c r="T206" i="36"/>
  <c r="L206" i="36"/>
  <c r="G206" i="36"/>
  <c r="X205" i="36"/>
  <c r="W205" i="36"/>
  <c r="T205" i="36"/>
  <c r="L205" i="36"/>
  <c r="G205" i="36"/>
  <c r="X204" i="36"/>
  <c r="W204" i="36"/>
  <c r="T204" i="36"/>
  <c r="L204" i="36"/>
  <c r="G204" i="36"/>
  <c r="X203" i="36"/>
  <c r="W203" i="36"/>
  <c r="T203" i="36"/>
  <c r="L203" i="36"/>
  <c r="G203" i="36"/>
  <c r="X202" i="36"/>
  <c r="W202" i="36"/>
  <c r="T202" i="36"/>
  <c r="L202" i="36"/>
  <c r="G202" i="36"/>
  <c r="X201" i="36"/>
  <c r="W201" i="36"/>
  <c r="T201" i="36"/>
  <c r="L201" i="36"/>
  <c r="G201" i="36"/>
  <c r="X200" i="36"/>
  <c r="W200" i="36"/>
  <c r="T200" i="36"/>
  <c r="L200" i="36"/>
  <c r="G200" i="36"/>
  <c r="X199" i="36"/>
  <c r="W199" i="36"/>
  <c r="T199" i="36"/>
  <c r="L199" i="36"/>
  <c r="G199" i="36"/>
  <c r="X198" i="36"/>
  <c r="W198" i="36"/>
  <c r="T198" i="36"/>
  <c r="L198" i="36"/>
  <c r="G198" i="36"/>
  <c r="Y198" i="36" s="1"/>
  <c r="Z198" i="36" s="1"/>
  <c r="X197" i="36"/>
  <c r="W197" i="36"/>
  <c r="T197" i="36"/>
  <c r="L197" i="36"/>
  <c r="G197" i="36"/>
  <c r="X196" i="36"/>
  <c r="W196" i="36"/>
  <c r="T196" i="36"/>
  <c r="L196" i="36"/>
  <c r="G196" i="36"/>
  <c r="X195" i="36"/>
  <c r="W195" i="36"/>
  <c r="T195" i="36"/>
  <c r="L195" i="36"/>
  <c r="G195" i="36"/>
  <c r="X194" i="36"/>
  <c r="W194" i="36"/>
  <c r="T194" i="36"/>
  <c r="L194" i="36"/>
  <c r="G194" i="36"/>
  <c r="X193" i="36"/>
  <c r="W193" i="36"/>
  <c r="T193" i="36"/>
  <c r="L193" i="36"/>
  <c r="G193" i="36"/>
  <c r="X192" i="36"/>
  <c r="W192" i="36"/>
  <c r="T192" i="36"/>
  <c r="L192" i="36"/>
  <c r="G192" i="36"/>
  <c r="X191" i="36"/>
  <c r="W191" i="36"/>
  <c r="T191" i="36"/>
  <c r="L191" i="36"/>
  <c r="G191" i="36"/>
  <c r="X190" i="36"/>
  <c r="W190" i="36"/>
  <c r="T190" i="36"/>
  <c r="L190" i="36"/>
  <c r="G190" i="36"/>
  <c r="X189" i="36"/>
  <c r="W189" i="36"/>
  <c r="T189" i="36"/>
  <c r="L189" i="36"/>
  <c r="G189" i="36"/>
  <c r="X188" i="36"/>
  <c r="W188" i="36"/>
  <c r="T188" i="36"/>
  <c r="L188" i="36"/>
  <c r="G188" i="36"/>
  <c r="X187" i="36"/>
  <c r="W187" i="36"/>
  <c r="T187" i="36"/>
  <c r="L187" i="36"/>
  <c r="G187" i="36"/>
  <c r="X186" i="36"/>
  <c r="W186" i="36"/>
  <c r="T186" i="36"/>
  <c r="L186" i="36"/>
  <c r="G186" i="36"/>
  <c r="X185" i="36"/>
  <c r="W185" i="36"/>
  <c r="T185" i="36"/>
  <c r="L185" i="36"/>
  <c r="G185" i="36"/>
  <c r="X184" i="36"/>
  <c r="W184" i="36"/>
  <c r="T184" i="36"/>
  <c r="L184" i="36"/>
  <c r="G184" i="36"/>
  <c r="X183" i="36"/>
  <c r="W183" i="36"/>
  <c r="T183" i="36"/>
  <c r="L183" i="36"/>
  <c r="G183" i="36"/>
  <c r="X182" i="36"/>
  <c r="W182" i="36"/>
  <c r="T182" i="36"/>
  <c r="L182" i="36"/>
  <c r="G182" i="36"/>
  <c r="X181" i="36"/>
  <c r="W181" i="36"/>
  <c r="T181" i="36"/>
  <c r="L181" i="36"/>
  <c r="G181" i="36"/>
  <c r="X180" i="36"/>
  <c r="W180" i="36"/>
  <c r="T180" i="36"/>
  <c r="L180" i="36"/>
  <c r="G180" i="36"/>
  <c r="X179" i="36"/>
  <c r="W179" i="36"/>
  <c r="T179" i="36"/>
  <c r="L179" i="36"/>
  <c r="G179" i="36"/>
  <c r="X178" i="36"/>
  <c r="W178" i="36"/>
  <c r="T178" i="36"/>
  <c r="L178" i="36"/>
  <c r="G178" i="36"/>
  <c r="X177" i="36"/>
  <c r="W177" i="36"/>
  <c r="T177" i="36"/>
  <c r="L177" i="36"/>
  <c r="G177" i="36"/>
  <c r="X176" i="36"/>
  <c r="W176" i="36"/>
  <c r="T176" i="36"/>
  <c r="L176" i="36"/>
  <c r="G176" i="36"/>
  <c r="X175" i="36"/>
  <c r="W175" i="36"/>
  <c r="T175" i="36"/>
  <c r="L175" i="36"/>
  <c r="G175" i="36"/>
  <c r="X174" i="36"/>
  <c r="W174" i="36"/>
  <c r="T174" i="36"/>
  <c r="L174" i="36"/>
  <c r="G174" i="36"/>
  <c r="X173" i="36"/>
  <c r="W173" i="36"/>
  <c r="T173" i="36"/>
  <c r="L173" i="36"/>
  <c r="G173" i="36"/>
  <c r="X172" i="36"/>
  <c r="W172" i="36"/>
  <c r="T172" i="36"/>
  <c r="L172" i="36"/>
  <c r="G172" i="36"/>
  <c r="X171" i="36"/>
  <c r="W171" i="36"/>
  <c r="T171" i="36"/>
  <c r="L171" i="36"/>
  <c r="G171" i="36"/>
  <c r="X170" i="36"/>
  <c r="W170" i="36"/>
  <c r="T170" i="36"/>
  <c r="L170" i="36"/>
  <c r="G170" i="36"/>
  <c r="X169" i="36"/>
  <c r="W169" i="36"/>
  <c r="T169" i="36"/>
  <c r="L169" i="36"/>
  <c r="G169" i="36"/>
  <c r="X168" i="36"/>
  <c r="W168" i="36"/>
  <c r="T168" i="36"/>
  <c r="L168" i="36"/>
  <c r="G168" i="36"/>
  <c r="X167" i="36"/>
  <c r="W167" i="36"/>
  <c r="T167" i="36"/>
  <c r="L167" i="36"/>
  <c r="G167" i="36"/>
  <c r="X166" i="36"/>
  <c r="W166" i="36"/>
  <c r="T166" i="36"/>
  <c r="L166" i="36"/>
  <c r="G166" i="36"/>
  <c r="X165" i="36"/>
  <c r="W165" i="36"/>
  <c r="T165" i="36"/>
  <c r="L165" i="36"/>
  <c r="G165" i="36"/>
  <c r="X164" i="36"/>
  <c r="W164" i="36"/>
  <c r="T164" i="36"/>
  <c r="L164" i="36"/>
  <c r="G164" i="36"/>
  <c r="X163" i="36"/>
  <c r="W163" i="36"/>
  <c r="T163" i="36"/>
  <c r="L163" i="36"/>
  <c r="G163" i="36"/>
  <c r="X162" i="36"/>
  <c r="W162" i="36"/>
  <c r="T162" i="36"/>
  <c r="L162" i="36"/>
  <c r="G162" i="36"/>
  <c r="X161" i="36"/>
  <c r="W161" i="36"/>
  <c r="T161" i="36"/>
  <c r="L161" i="36"/>
  <c r="G161" i="36"/>
  <c r="X160" i="36"/>
  <c r="W160" i="36"/>
  <c r="T160" i="36"/>
  <c r="L160" i="36"/>
  <c r="G160" i="36"/>
  <c r="X159" i="36"/>
  <c r="W159" i="36"/>
  <c r="T159" i="36"/>
  <c r="L159" i="36"/>
  <c r="G159" i="36"/>
  <c r="X158" i="36"/>
  <c r="W158" i="36"/>
  <c r="T158" i="36"/>
  <c r="L158" i="36"/>
  <c r="G158" i="36"/>
  <c r="X157" i="36"/>
  <c r="W157" i="36"/>
  <c r="T157" i="36"/>
  <c r="L157" i="36"/>
  <c r="G157" i="36"/>
  <c r="X156" i="36"/>
  <c r="W156" i="36"/>
  <c r="T156" i="36"/>
  <c r="L156" i="36"/>
  <c r="G156" i="36"/>
  <c r="X155" i="36"/>
  <c r="W155" i="36"/>
  <c r="T155" i="36"/>
  <c r="L155" i="36"/>
  <c r="G155" i="36"/>
  <c r="X154" i="36"/>
  <c r="W154" i="36"/>
  <c r="T154" i="36"/>
  <c r="L154" i="36"/>
  <c r="G154" i="36"/>
  <c r="X153" i="36"/>
  <c r="W153" i="36"/>
  <c r="T153" i="36"/>
  <c r="L153" i="36"/>
  <c r="G153" i="36"/>
  <c r="X152" i="36"/>
  <c r="W152" i="36"/>
  <c r="T152" i="36"/>
  <c r="L152" i="36"/>
  <c r="G152" i="36"/>
  <c r="X151" i="36"/>
  <c r="W151" i="36"/>
  <c r="T151" i="36"/>
  <c r="L151" i="36"/>
  <c r="G151" i="36"/>
  <c r="X150" i="36"/>
  <c r="W150" i="36"/>
  <c r="T150" i="36"/>
  <c r="L150" i="36"/>
  <c r="G150" i="36"/>
  <c r="X149" i="36"/>
  <c r="W149" i="36"/>
  <c r="T149" i="36"/>
  <c r="L149" i="36"/>
  <c r="G149" i="36"/>
  <c r="X148" i="36"/>
  <c r="W148" i="36"/>
  <c r="T148" i="36"/>
  <c r="L148" i="36"/>
  <c r="G148" i="36"/>
  <c r="X147" i="36"/>
  <c r="W147" i="36"/>
  <c r="T147" i="36"/>
  <c r="L147" i="36"/>
  <c r="G147" i="36"/>
  <c r="X146" i="36"/>
  <c r="W146" i="36"/>
  <c r="T146" i="36"/>
  <c r="L146" i="36"/>
  <c r="G146" i="36"/>
  <c r="X145" i="36"/>
  <c r="W145" i="36"/>
  <c r="T145" i="36"/>
  <c r="L145" i="36"/>
  <c r="G145" i="36"/>
  <c r="X144" i="36"/>
  <c r="W144" i="36"/>
  <c r="T144" i="36"/>
  <c r="L144" i="36"/>
  <c r="G144" i="36"/>
  <c r="X143" i="36"/>
  <c r="W143" i="36"/>
  <c r="T143" i="36"/>
  <c r="L143" i="36"/>
  <c r="G143" i="36"/>
  <c r="X142" i="36"/>
  <c r="W142" i="36"/>
  <c r="T142" i="36"/>
  <c r="L142" i="36"/>
  <c r="G142" i="36"/>
  <c r="X141" i="36"/>
  <c r="W141" i="36"/>
  <c r="T141" i="36"/>
  <c r="L141" i="36"/>
  <c r="G141" i="36"/>
  <c r="X140" i="36"/>
  <c r="W140" i="36"/>
  <c r="T140" i="36"/>
  <c r="L140" i="36"/>
  <c r="G140" i="36"/>
  <c r="X139" i="36"/>
  <c r="W139" i="36"/>
  <c r="T139" i="36"/>
  <c r="L139" i="36"/>
  <c r="G139" i="36"/>
  <c r="X138" i="36"/>
  <c r="W138" i="36"/>
  <c r="T138" i="36"/>
  <c r="L138" i="36"/>
  <c r="G138" i="36"/>
  <c r="X137" i="36"/>
  <c r="W137" i="36"/>
  <c r="T137" i="36"/>
  <c r="L137" i="36"/>
  <c r="G137" i="36"/>
  <c r="X136" i="36"/>
  <c r="W136" i="36"/>
  <c r="T136" i="36"/>
  <c r="L136" i="36"/>
  <c r="G136" i="36"/>
  <c r="X135" i="36"/>
  <c r="W135" i="36"/>
  <c r="T135" i="36"/>
  <c r="L135" i="36"/>
  <c r="G135" i="36"/>
  <c r="X134" i="36"/>
  <c r="W134" i="36"/>
  <c r="T134" i="36"/>
  <c r="L134" i="36"/>
  <c r="G134" i="36"/>
  <c r="X133" i="36"/>
  <c r="W133" i="36"/>
  <c r="T133" i="36"/>
  <c r="L133" i="36"/>
  <c r="G133" i="36"/>
  <c r="X132" i="36"/>
  <c r="W132" i="36"/>
  <c r="T132" i="36"/>
  <c r="L132" i="36"/>
  <c r="G132" i="36"/>
  <c r="X131" i="36"/>
  <c r="W131" i="36"/>
  <c r="T131" i="36"/>
  <c r="L131" i="36"/>
  <c r="G131" i="36"/>
  <c r="X130" i="36"/>
  <c r="W130" i="36"/>
  <c r="T130" i="36"/>
  <c r="L130" i="36"/>
  <c r="G130" i="36"/>
  <c r="X129" i="36"/>
  <c r="W129" i="36"/>
  <c r="T129" i="36"/>
  <c r="L129" i="36"/>
  <c r="G129" i="36"/>
  <c r="X128" i="36"/>
  <c r="W128" i="36"/>
  <c r="T128" i="36"/>
  <c r="L128" i="36"/>
  <c r="G128" i="36"/>
  <c r="X127" i="36"/>
  <c r="W127" i="36"/>
  <c r="T127" i="36"/>
  <c r="L127" i="36"/>
  <c r="G127" i="36"/>
  <c r="X126" i="36"/>
  <c r="W126" i="36"/>
  <c r="T126" i="36"/>
  <c r="L126" i="36"/>
  <c r="G126" i="36"/>
  <c r="X125" i="36"/>
  <c r="W125" i="36"/>
  <c r="T125" i="36"/>
  <c r="L125" i="36"/>
  <c r="G125" i="36"/>
  <c r="X124" i="36"/>
  <c r="W124" i="36"/>
  <c r="T124" i="36"/>
  <c r="L124" i="36"/>
  <c r="G124" i="36"/>
  <c r="X123" i="36"/>
  <c r="W123" i="36"/>
  <c r="T123" i="36"/>
  <c r="L123" i="36"/>
  <c r="G123" i="36"/>
  <c r="X122" i="36"/>
  <c r="W122" i="36"/>
  <c r="T122" i="36"/>
  <c r="L122" i="36"/>
  <c r="G122" i="36"/>
  <c r="X121" i="36"/>
  <c r="W121" i="36"/>
  <c r="T121" i="36"/>
  <c r="L121" i="36"/>
  <c r="G121" i="36"/>
  <c r="X120" i="36"/>
  <c r="W120" i="36"/>
  <c r="T120" i="36"/>
  <c r="L120" i="36"/>
  <c r="G120" i="36"/>
  <c r="X119" i="36"/>
  <c r="W119" i="36"/>
  <c r="T119" i="36"/>
  <c r="L119" i="36"/>
  <c r="G119" i="36"/>
  <c r="X118" i="36"/>
  <c r="W118" i="36"/>
  <c r="T118" i="36"/>
  <c r="L118" i="36"/>
  <c r="G118" i="36"/>
  <c r="X117" i="36"/>
  <c r="W117" i="36"/>
  <c r="T117" i="36"/>
  <c r="L117" i="36"/>
  <c r="G117" i="36"/>
  <c r="X116" i="36"/>
  <c r="W116" i="36"/>
  <c r="T116" i="36"/>
  <c r="L116" i="36"/>
  <c r="G116" i="36"/>
  <c r="X115" i="36"/>
  <c r="W115" i="36"/>
  <c r="T115" i="36"/>
  <c r="L115" i="36"/>
  <c r="G115" i="36"/>
  <c r="X114" i="36"/>
  <c r="W114" i="36"/>
  <c r="T114" i="36"/>
  <c r="L114" i="36"/>
  <c r="G114" i="36"/>
  <c r="X113" i="36"/>
  <c r="W113" i="36"/>
  <c r="T113" i="36"/>
  <c r="L113" i="36"/>
  <c r="G113" i="36"/>
  <c r="X112" i="36"/>
  <c r="W112" i="36"/>
  <c r="T112" i="36"/>
  <c r="L112" i="36"/>
  <c r="G112" i="36"/>
  <c r="X111" i="36"/>
  <c r="W111" i="36"/>
  <c r="T111" i="36"/>
  <c r="G111" i="36"/>
  <c r="X110" i="36"/>
  <c r="W110" i="36"/>
  <c r="T110" i="36"/>
  <c r="L110" i="36"/>
  <c r="G110" i="36"/>
  <c r="X109" i="36"/>
  <c r="W109" i="36"/>
  <c r="T109" i="36"/>
  <c r="L109" i="36"/>
  <c r="G109" i="36"/>
  <c r="X108" i="36"/>
  <c r="W108" i="36"/>
  <c r="T108" i="36"/>
  <c r="L108" i="36"/>
  <c r="G108" i="36"/>
  <c r="X107" i="36"/>
  <c r="W107" i="36"/>
  <c r="T107" i="36"/>
  <c r="L107" i="36"/>
  <c r="G107" i="36"/>
  <c r="X106" i="36"/>
  <c r="W106" i="36"/>
  <c r="T106" i="36"/>
  <c r="L106" i="36"/>
  <c r="G106" i="36"/>
  <c r="X105" i="36"/>
  <c r="W105" i="36"/>
  <c r="T105" i="36"/>
  <c r="L105" i="36"/>
  <c r="G105" i="36"/>
  <c r="X104" i="36"/>
  <c r="W104" i="36"/>
  <c r="T104" i="36"/>
  <c r="L104" i="36"/>
  <c r="G104" i="36"/>
  <c r="X103" i="36"/>
  <c r="W103" i="36"/>
  <c r="T103" i="36"/>
  <c r="L103" i="36"/>
  <c r="G103" i="36"/>
  <c r="X102" i="36"/>
  <c r="W102" i="36"/>
  <c r="T102" i="36"/>
  <c r="L102" i="36"/>
  <c r="G102" i="36"/>
  <c r="Y102" i="36" s="1"/>
  <c r="Z102" i="36" s="1"/>
  <c r="X101" i="36"/>
  <c r="W101" i="36"/>
  <c r="T101" i="36"/>
  <c r="L101" i="36"/>
  <c r="G101" i="36"/>
  <c r="X100" i="36"/>
  <c r="W100" i="36"/>
  <c r="T100" i="36"/>
  <c r="L100" i="36"/>
  <c r="G100" i="36"/>
  <c r="X99" i="36"/>
  <c r="W99" i="36"/>
  <c r="T99" i="36"/>
  <c r="L99" i="36"/>
  <c r="G99" i="36"/>
  <c r="X98" i="36"/>
  <c r="W98" i="36"/>
  <c r="T98" i="36"/>
  <c r="L98" i="36"/>
  <c r="G98" i="36"/>
  <c r="X97" i="36"/>
  <c r="W97" i="36"/>
  <c r="T97" i="36"/>
  <c r="L97" i="36"/>
  <c r="G97" i="36"/>
  <c r="X96" i="36"/>
  <c r="W96" i="36"/>
  <c r="T96" i="36"/>
  <c r="L96" i="36"/>
  <c r="G96" i="36"/>
  <c r="X95" i="36"/>
  <c r="W95" i="36"/>
  <c r="T95" i="36"/>
  <c r="L95" i="36"/>
  <c r="G95" i="36"/>
  <c r="X94" i="36"/>
  <c r="W94" i="36"/>
  <c r="T94" i="36"/>
  <c r="L94" i="36"/>
  <c r="G94" i="36"/>
  <c r="X93" i="36"/>
  <c r="W93" i="36"/>
  <c r="T93" i="36"/>
  <c r="L93" i="36"/>
  <c r="G93" i="36"/>
  <c r="X92" i="36"/>
  <c r="W92" i="36"/>
  <c r="T92" i="36"/>
  <c r="L92" i="36"/>
  <c r="G92" i="36"/>
  <c r="X91" i="36"/>
  <c r="W91" i="36"/>
  <c r="T91" i="36"/>
  <c r="L91" i="36"/>
  <c r="G91" i="36"/>
  <c r="X90" i="36"/>
  <c r="W90" i="36"/>
  <c r="T90" i="36"/>
  <c r="L90" i="36"/>
  <c r="G90" i="36"/>
  <c r="Y90" i="36" s="1"/>
  <c r="Z90" i="36" s="1"/>
  <c r="X89" i="36"/>
  <c r="W89" i="36"/>
  <c r="T89" i="36"/>
  <c r="L89" i="36"/>
  <c r="G89" i="36"/>
  <c r="X88" i="36"/>
  <c r="W88" i="36"/>
  <c r="T88" i="36"/>
  <c r="L88" i="36"/>
  <c r="G88" i="36"/>
  <c r="X87" i="36"/>
  <c r="W87" i="36"/>
  <c r="T87" i="36"/>
  <c r="L87" i="36"/>
  <c r="G87" i="36"/>
  <c r="X86" i="36"/>
  <c r="W86" i="36"/>
  <c r="T86" i="36"/>
  <c r="L86" i="36"/>
  <c r="G86" i="36"/>
  <c r="X85" i="36"/>
  <c r="W85" i="36"/>
  <c r="T85" i="36"/>
  <c r="L85" i="36"/>
  <c r="G85" i="36"/>
  <c r="X84" i="36"/>
  <c r="W84" i="36"/>
  <c r="T84" i="36"/>
  <c r="L84" i="36"/>
  <c r="G84" i="36"/>
  <c r="X83" i="36"/>
  <c r="W83" i="36"/>
  <c r="T83" i="36"/>
  <c r="L83" i="36"/>
  <c r="G83" i="36"/>
  <c r="X82" i="36"/>
  <c r="W82" i="36"/>
  <c r="T82" i="36"/>
  <c r="L82" i="36"/>
  <c r="G82" i="36"/>
  <c r="X81" i="36"/>
  <c r="W81" i="36"/>
  <c r="T81" i="36"/>
  <c r="L81" i="36"/>
  <c r="G81" i="36"/>
  <c r="X80" i="36"/>
  <c r="W80" i="36"/>
  <c r="T80" i="36"/>
  <c r="L80" i="36"/>
  <c r="G80" i="36"/>
  <c r="X79" i="36"/>
  <c r="W79" i="36"/>
  <c r="T79" i="36"/>
  <c r="L79" i="36"/>
  <c r="G79" i="36"/>
  <c r="X78" i="36"/>
  <c r="W78" i="36"/>
  <c r="T78" i="36"/>
  <c r="L78" i="36"/>
  <c r="G78" i="36"/>
  <c r="Y78" i="36" s="1"/>
  <c r="Z78" i="36" s="1"/>
  <c r="X77" i="36"/>
  <c r="W77" i="36"/>
  <c r="T77" i="36"/>
  <c r="L77" i="36"/>
  <c r="G77" i="36"/>
  <c r="X76" i="36"/>
  <c r="W76" i="36"/>
  <c r="T76" i="36"/>
  <c r="L76" i="36"/>
  <c r="G76" i="36"/>
  <c r="X75" i="36"/>
  <c r="W75" i="36"/>
  <c r="T75" i="36"/>
  <c r="L75" i="36"/>
  <c r="G75" i="36"/>
  <c r="X74" i="36"/>
  <c r="W74" i="36"/>
  <c r="T74" i="36"/>
  <c r="L74" i="36"/>
  <c r="G74" i="36"/>
  <c r="X73" i="36"/>
  <c r="W73" i="36"/>
  <c r="T73" i="36"/>
  <c r="L73" i="36"/>
  <c r="G73" i="36"/>
  <c r="X72" i="36"/>
  <c r="W72" i="36"/>
  <c r="T72" i="36"/>
  <c r="L72" i="36"/>
  <c r="G72" i="36"/>
  <c r="X71" i="36"/>
  <c r="W71" i="36"/>
  <c r="T71" i="36"/>
  <c r="L71" i="36"/>
  <c r="G71" i="36"/>
  <c r="X70" i="36"/>
  <c r="W70" i="36"/>
  <c r="T70" i="36"/>
  <c r="L70" i="36"/>
  <c r="G70" i="36"/>
  <c r="X69" i="36"/>
  <c r="W69" i="36"/>
  <c r="T69" i="36"/>
  <c r="L69" i="36"/>
  <c r="G69" i="36"/>
  <c r="X68" i="36"/>
  <c r="W68" i="36"/>
  <c r="T68" i="36"/>
  <c r="L68" i="36"/>
  <c r="G68" i="36"/>
  <c r="X67" i="36"/>
  <c r="W67" i="36"/>
  <c r="T67" i="36"/>
  <c r="L67" i="36"/>
  <c r="G67" i="36"/>
  <c r="X66" i="36"/>
  <c r="W66" i="36"/>
  <c r="T66" i="36"/>
  <c r="L66" i="36"/>
  <c r="G66" i="36"/>
  <c r="Y66" i="36" s="1"/>
  <c r="Z66" i="36" s="1"/>
  <c r="X65" i="36"/>
  <c r="W65" i="36"/>
  <c r="T65" i="36"/>
  <c r="L65" i="36"/>
  <c r="G65" i="36"/>
  <c r="X64" i="36"/>
  <c r="W64" i="36"/>
  <c r="T64" i="36"/>
  <c r="L64" i="36"/>
  <c r="G64" i="36"/>
  <c r="X63" i="36"/>
  <c r="W63" i="36"/>
  <c r="T63" i="36"/>
  <c r="L63" i="36"/>
  <c r="G63" i="36"/>
  <c r="X62" i="36"/>
  <c r="W62" i="36"/>
  <c r="T62" i="36"/>
  <c r="L62" i="36"/>
  <c r="G62" i="36"/>
  <c r="X61" i="36"/>
  <c r="W61" i="36"/>
  <c r="T61" i="36"/>
  <c r="L61" i="36"/>
  <c r="G61" i="36"/>
  <c r="X60" i="36"/>
  <c r="W60" i="36"/>
  <c r="T60" i="36"/>
  <c r="L60" i="36"/>
  <c r="G60" i="36"/>
  <c r="X59" i="36"/>
  <c r="W59" i="36"/>
  <c r="T59" i="36"/>
  <c r="L59" i="36"/>
  <c r="G59" i="36"/>
  <c r="X58" i="36"/>
  <c r="W58" i="36"/>
  <c r="T58" i="36"/>
  <c r="L58" i="36"/>
  <c r="G58" i="36"/>
  <c r="X57" i="36"/>
  <c r="W57" i="36"/>
  <c r="T57" i="36"/>
  <c r="L57" i="36"/>
  <c r="G57" i="36"/>
  <c r="X56" i="36"/>
  <c r="W56" i="36"/>
  <c r="T56" i="36"/>
  <c r="L56" i="36"/>
  <c r="G56" i="36"/>
  <c r="X55" i="36"/>
  <c r="W55" i="36"/>
  <c r="T55" i="36"/>
  <c r="L55" i="36"/>
  <c r="G55" i="36"/>
  <c r="X54" i="36"/>
  <c r="W54" i="36"/>
  <c r="T54" i="36"/>
  <c r="L54" i="36"/>
  <c r="G54" i="36"/>
  <c r="X53" i="36"/>
  <c r="W53" i="36"/>
  <c r="T53" i="36"/>
  <c r="L53" i="36"/>
  <c r="G53" i="36"/>
  <c r="X52" i="36"/>
  <c r="W52" i="36"/>
  <c r="T52" i="36"/>
  <c r="L52" i="36"/>
  <c r="G52" i="36"/>
  <c r="X51" i="36"/>
  <c r="W51" i="36"/>
  <c r="T51" i="36"/>
  <c r="L51" i="36"/>
  <c r="G51" i="36"/>
  <c r="X50" i="36"/>
  <c r="W50" i="36"/>
  <c r="T50" i="36"/>
  <c r="L50" i="36"/>
  <c r="G50" i="36"/>
  <c r="X49" i="36"/>
  <c r="W49" i="36"/>
  <c r="T49" i="36"/>
  <c r="L49" i="36"/>
  <c r="G49" i="36"/>
  <c r="X48" i="36"/>
  <c r="W48" i="36"/>
  <c r="T48" i="36"/>
  <c r="L48" i="36"/>
  <c r="G48" i="36"/>
  <c r="X47" i="36"/>
  <c r="W47" i="36"/>
  <c r="T47" i="36"/>
  <c r="L47" i="36"/>
  <c r="G47" i="36"/>
  <c r="X46" i="36"/>
  <c r="W46" i="36"/>
  <c r="T46" i="36"/>
  <c r="L46" i="36"/>
  <c r="G46" i="36"/>
  <c r="X45" i="36"/>
  <c r="W45" i="36"/>
  <c r="T45" i="36"/>
  <c r="L45" i="36"/>
  <c r="G45" i="36"/>
  <c r="X44" i="36"/>
  <c r="W44" i="36"/>
  <c r="T44" i="36"/>
  <c r="L44" i="36"/>
  <c r="G44" i="36"/>
  <c r="X43" i="36"/>
  <c r="W43" i="36"/>
  <c r="T43" i="36"/>
  <c r="L43" i="36"/>
  <c r="G43" i="36"/>
  <c r="X42" i="36"/>
  <c r="W42" i="36"/>
  <c r="T42" i="36"/>
  <c r="L42" i="36"/>
  <c r="G42" i="36"/>
  <c r="X41" i="36"/>
  <c r="W41" i="36"/>
  <c r="T41" i="36"/>
  <c r="L41" i="36"/>
  <c r="G41" i="36"/>
  <c r="X40" i="36"/>
  <c r="W40" i="36"/>
  <c r="T40" i="36"/>
  <c r="L40" i="36"/>
  <c r="G40" i="36"/>
  <c r="X39" i="36"/>
  <c r="W39" i="36"/>
  <c r="T39" i="36"/>
  <c r="L39" i="36"/>
  <c r="G39" i="36"/>
  <c r="X38" i="36"/>
  <c r="W38" i="36"/>
  <c r="T38" i="36"/>
  <c r="L38" i="36"/>
  <c r="G38" i="36"/>
  <c r="X37" i="36"/>
  <c r="W37" i="36"/>
  <c r="T37" i="36"/>
  <c r="L37" i="36"/>
  <c r="G37" i="36"/>
  <c r="X36" i="36"/>
  <c r="W36" i="36"/>
  <c r="T36" i="36"/>
  <c r="L36" i="36"/>
  <c r="G36" i="36"/>
  <c r="X35" i="36"/>
  <c r="W35" i="36"/>
  <c r="T35" i="36"/>
  <c r="L35" i="36"/>
  <c r="G35" i="36"/>
  <c r="X34" i="36"/>
  <c r="W34" i="36"/>
  <c r="T34" i="36"/>
  <c r="L34" i="36"/>
  <c r="G34" i="36"/>
  <c r="X33" i="36"/>
  <c r="W33" i="36"/>
  <c r="T33" i="36"/>
  <c r="L33" i="36"/>
  <c r="G33" i="36"/>
  <c r="X32" i="36"/>
  <c r="W32" i="36"/>
  <c r="T32" i="36"/>
  <c r="L32" i="36"/>
  <c r="G32" i="36"/>
  <c r="X31" i="36"/>
  <c r="W31" i="36"/>
  <c r="T31" i="36"/>
  <c r="L31" i="36"/>
  <c r="G31" i="36"/>
  <c r="X30" i="36"/>
  <c r="W30" i="36"/>
  <c r="T30" i="36"/>
  <c r="L30" i="36"/>
  <c r="G30" i="36"/>
  <c r="X29" i="36"/>
  <c r="W29" i="36"/>
  <c r="T29" i="36"/>
  <c r="L29" i="36"/>
  <c r="G29" i="36"/>
  <c r="X28" i="36"/>
  <c r="W28" i="36"/>
  <c r="T28" i="36"/>
  <c r="L28" i="36"/>
  <c r="G28" i="36"/>
  <c r="X27" i="36"/>
  <c r="W27" i="36"/>
  <c r="T27" i="36"/>
  <c r="L27" i="36"/>
  <c r="G27" i="36"/>
  <c r="X26" i="36"/>
  <c r="W26" i="36"/>
  <c r="T26" i="36"/>
  <c r="L26" i="36"/>
  <c r="G26" i="36"/>
  <c r="X25" i="36"/>
  <c r="W25" i="36"/>
  <c r="T25" i="36"/>
  <c r="L25" i="36"/>
  <c r="G25" i="36"/>
  <c r="X24" i="36"/>
  <c r="W24" i="36"/>
  <c r="T24" i="36"/>
  <c r="L24" i="36"/>
  <c r="G24" i="36"/>
  <c r="X23" i="36"/>
  <c r="W23" i="36"/>
  <c r="T23" i="36"/>
  <c r="L23" i="36"/>
  <c r="G23" i="36"/>
  <c r="X22" i="36"/>
  <c r="W22" i="36"/>
  <c r="T22" i="36"/>
  <c r="L22" i="36"/>
  <c r="G22" i="36"/>
  <c r="X21" i="36"/>
  <c r="W21" i="36"/>
  <c r="T21" i="36"/>
  <c r="L21" i="36"/>
  <c r="G21" i="36"/>
  <c r="X20" i="36"/>
  <c r="W20" i="36"/>
  <c r="T20" i="36"/>
  <c r="L20" i="36"/>
  <c r="G20" i="36"/>
  <c r="X19" i="36"/>
  <c r="W19" i="36"/>
  <c r="T19" i="36"/>
  <c r="L19" i="36"/>
  <c r="G19" i="36"/>
  <c r="X18" i="36"/>
  <c r="W18" i="36"/>
  <c r="T18" i="36"/>
  <c r="L18" i="36"/>
  <c r="G18" i="36"/>
  <c r="Y18" i="36" s="1"/>
  <c r="Z18" i="36" s="1"/>
  <c r="X17" i="36"/>
  <c r="W17" i="36"/>
  <c r="T17" i="36"/>
  <c r="L17" i="36"/>
  <c r="G17" i="36"/>
  <c r="X16" i="36"/>
  <c r="W16" i="36"/>
  <c r="T16" i="36"/>
  <c r="L16" i="36"/>
  <c r="G16" i="36"/>
  <c r="X15" i="36"/>
  <c r="W15" i="36"/>
  <c r="T15" i="36"/>
  <c r="L15" i="36"/>
  <c r="G15" i="36"/>
  <c r="X14" i="36"/>
  <c r="W14" i="36"/>
  <c r="T14" i="36"/>
  <c r="L14" i="36"/>
  <c r="G14" i="36"/>
  <c r="X13" i="36"/>
  <c r="W13" i="36"/>
  <c r="T13" i="36"/>
  <c r="L13" i="36"/>
  <c r="G13" i="36"/>
  <c r="X12" i="36"/>
  <c r="W12" i="36"/>
  <c r="T12" i="36"/>
  <c r="L12" i="36"/>
  <c r="G12" i="36"/>
  <c r="X11" i="36"/>
  <c r="W11" i="36"/>
  <c r="T11" i="36"/>
  <c r="L11" i="36"/>
  <c r="G11" i="36"/>
  <c r="X10" i="36"/>
  <c r="W10" i="36"/>
  <c r="T10" i="36"/>
  <c r="L10" i="36"/>
  <c r="G10" i="36"/>
  <c r="X9" i="36"/>
  <c r="W9" i="36"/>
  <c r="T9" i="36"/>
  <c r="L9" i="36"/>
  <c r="G9" i="36"/>
  <c r="X8" i="36"/>
  <c r="W8" i="36"/>
  <c r="T8" i="36"/>
  <c r="L8" i="36"/>
  <c r="G8" i="36"/>
  <c r="X7" i="36"/>
  <c r="W7" i="36"/>
  <c r="T7" i="36"/>
  <c r="L7" i="36"/>
  <c r="G7" i="36"/>
  <c r="X6" i="36"/>
  <c r="W6" i="36"/>
  <c r="T6" i="36"/>
  <c r="L6" i="36"/>
  <c r="G6" i="36"/>
  <c r="Y6" i="36" s="1"/>
  <c r="Z6" i="36" s="1"/>
  <c r="X5" i="36"/>
  <c r="W5" i="36"/>
  <c r="T5" i="36"/>
  <c r="L5" i="36"/>
  <c r="G5" i="36"/>
  <c r="X4" i="36"/>
  <c r="W4" i="36"/>
  <c r="T4" i="36"/>
  <c r="L4" i="36"/>
  <c r="G4" i="36"/>
  <c r="X4" i="28"/>
  <c r="Y4" i="28" s="1"/>
  <c r="U4" i="28"/>
  <c r="R4" i="28"/>
  <c r="S5" i="35" l="1"/>
  <c r="Y155" i="36"/>
  <c r="Y179" i="36"/>
  <c r="Z179" i="36" s="1"/>
  <c r="Y69" i="36"/>
  <c r="Z69" i="36" s="1"/>
  <c r="Y81" i="36"/>
  <c r="Z81" i="36" s="1"/>
  <c r="Y93" i="36"/>
  <c r="Z93" i="36" s="1"/>
  <c r="Y105" i="36"/>
  <c r="Z105" i="36" s="1"/>
  <c r="Y19" i="36"/>
  <c r="Z19" i="36" s="1"/>
  <c r="Y31" i="36"/>
  <c r="Z31" i="36" s="1"/>
  <c r="Y55" i="36"/>
  <c r="Z55" i="36" s="1"/>
  <c r="Y67" i="36"/>
  <c r="Z67" i="36" s="1"/>
  <c r="Y91" i="36"/>
  <c r="Z91" i="36" s="1"/>
  <c r="Y103" i="36"/>
  <c r="Z103" i="36" s="1"/>
  <c r="Y10" i="36"/>
  <c r="Z10" i="36" s="1"/>
  <c r="Y22" i="36"/>
  <c r="Y58" i="36"/>
  <c r="Y82" i="36"/>
  <c r="Y94" i="36"/>
  <c r="Z94" i="36" s="1"/>
  <c r="Y106" i="36"/>
  <c r="Y197" i="36"/>
  <c r="Z197" i="36" s="1"/>
  <c r="Y114" i="36"/>
  <c r="Z114" i="36" s="1"/>
  <c r="Y126" i="36"/>
  <c r="Z126" i="36" s="1"/>
  <c r="Y138" i="36"/>
  <c r="Z138" i="36" s="1"/>
  <c r="Y174" i="36"/>
  <c r="Z174" i="36" s="1"/>
  <c r="Y186" i="36"/>
  <c r="Z186" i="36" s="1"/>
  <c r="Y222" i="36"/>
  <c r="Z222" i="36" s="1"/>
  <c r="Y158" i="36"/>
  <c r="Z158" i="36" s="1"/>
  <c r="Y146" i="36"/>
  <c r="Y4" i="36"/>
  <c r="Z4" i="36" s="1"/>
  <c r="Y64" i="36"/>
  <c r="Z64" i="36" s="1"/>
  <c r="Y76" i="36"/>
  <c r="Z76" i="36" s="1"/>
  <c r="Y100" i="36"/>
  <c r="Z100" i="36" s="1"/>
  <c r="Y141" i="36"/>
  <c r="Z141" i="36" s="1"/>
  <c r="Y153" i="36"/>
  <c r="Z153" i="36" s="1"/>
  <c r="Y165" i="36"/>
  <c r="Z165" i="36" s="1"/>
  <c r="Y177" i="36"/>
  <c r="Z177" i="36" s="1"/>
  <c r="Y175" i="36"/>
  <c r="Z175" i="36" s="1"/>
  <c r="Y108" i="36"/>
  <c r="Z108" i="36" s="1"/>
  <c r="Y125" i="36"/>
  <c r="Z125" i="36" s="1"/>
  <c r="Y149" i="36"/>
  <c r="Z149" i="36" s="1"/>
  <c r="Y173" i="36"/>
  <c r="Y185" i="36"/>
  <c r="Z185" i="36" s="1"/>
  <c r="Y211" i="36"/>
  <c r="Z211" i="36" s="1"/>
  <c r="Y120" i="36"/>
  <c r="Z120" i="36" s="1"/>
  <c r="Y5" i="36"/>
  <c r="Z5" i="36" s="1"/>
  <c r="Y41" i="36"/>
  <c r="Z41" i="36" s="1"/>
  <c r="Y77" i="36"/>
  <c r="Z77" i="36" s="1"/>
  <c r="Z106" i="36"/>
  <c r="Z58" i="36"/>
  <c r="Y111" i="36"/>
  <c r="Z111" i="36" s="1"/>
  <c r="Y128" i="36"/>
  <c r="Z128" i="36" s="1"/>
  <c r="Y140" i="36"/>
  <c r="Z140" i="36" s="1"/>
  <c r="Y152" i="36"/>
  <c r="Z152" i="36" s="1"/>
  <c r="Y176" i="36"/>
  <c r="Z176" i="36" s="1"/>
  <c r="Y224" i="36"/>
  <c r="Z224" i="36" s="1"/>
  <c r="Z22" i="36"/>
  <c r="Z82" i="36"/>
  <c r="Y68" i="36"/>
  <c r="Z68" i="36" s="1"/>
  <c r="Y200" i="36"/>
  <c r="Y212" i="36"/>
  <c r="Z212" i="36" s="1"/>
  <c r="Y161" i="36"/>
  <c r="Z161" i="36" s="1"/>
  <c r="Y50" i="36"/>
  <c r="Z50" i="36" s="1"/>
  <c r="Y167" i="36"/>
  <c r="Z167" i="36" s="1"/>
  <c r="Y139" i="36"/>
  <c r="Z139" i="36" s="1"/>
  <c r="Y118" i="36"/>
  <c r="Z118" i="36" s="1"/>
  <c r="Y137" i="36"/>
  <c r="Z137" i="36" s="1"/>
  <c r="Y203" i="36"/>
  <c r="Z203" i="36" s="1"/>
  <c r="Y188" i="36"/>
  <c r="Z188" i="36" s="1"/>
  <c r="Y83" i="36"/>
  <c r="Z83" i="36" s="1"/>
  <c r="Y116" i="36"/>
  <c r="Z116" i="36" s="1"/>
  <c r="Y169" i="36"/>
  <c r="Z169" i="36" s="1"/>
  <c r="Y205" i="36"/>
  <c r="Z205" i="36" s="1"/>
  <c r="Y44" i="36"/>
  <c r="Z44" i="36" s="1"/>
  <c r="R80" i="35"/>
  <c r="S80" i="35" s="1"/>
  <c r="R54" i="35"/>
  <c r="R64" i="35"/>
  <c r="R76" i="35"/>
  <c r="R40" i="35"/>
  <c r="R10" i="35"/>
  <c r="S10" i="35" s="1"/>
  <c r="R52" i="35"/>
  <c r="R78" i="35"/>
  <c r="S78" i="35" s="1"/>
  <c r="R71" i="35"/>
  <c r="R57" i="35"/>
  <c r="R6" i="35"/>
  <c r="Y72" i="36"/>
  <c r="Z72" i="36" s="1"/>
  <c r="Y84" i="36"/>
  <c r="Z84" i="36" s="1"/>
  <c r="Y96" i="36"/>
  <c r="Z96" i="36" s="1"/>
  <c r="Y132" i="36"/>
  <c r="Z132" i="36" s="1"/>
  <c r="Y144" i="36"/>
  <c r="Z144" i="36" s="1"/>
  <c r="Y12" i="36"/>
  <c r="Z12" i="36" s="1"/>
  <c r="Y86" i="36"/>
  <c r="Z86" i="36" s="1"/>
  <c r="Y122" i="36"/>
  <c r="Z122" i="36" s="1"/>
  <c r="Y60" i="36"/>
  <c r="Z60" i="36" s="1"/>
  <c r="Y134" i="36"/>
  <c r="Z134" i="36" s="1"/>
  <c r="Y170" i="36"/>
  <c r="Z170" i="36" s="1"/>
  <c r="Y184" i="36"/>
  <c r="Z184" i="36" s="1"/>
  <c r="Y49" i="36"/>
  <c r="Z49" i="36" s="1"/>
  <c r="Y194" i="36"/>
  <c r="Z194" i="36" s="1"/>
  <c r="Y192" i="36"/>
  <c r="Z192" i="36" s="1"/>
  <c r="Y23" i="36"/>
  <c r="Z23" i="36" s="1"/>
  <c r="Y59" i="36"/>
  <c r="Z59" i="36" s="1"/>
  <c r="Y109" i="36"/>
  <c r="Z109" i="36" s="1"/>
  <c r="Y154" i="36"/>
  <c r="Z154" i="36" s="1"/>
  <c r="Y204" i="36"/>
  <c r="Z204" i="36" s="1"/>
  <c r="Y39" i="36"/>
  <c r="Z39" i="36" s="1"/>
  <c r="Y63" i="36"/>
  <c r="Z63" i="36" s="1"/>
  <c r="Y37" i="36"/>
  <c r="Z37" i="36" s="1"/>
  <c r="Y135" i="36"/>
  <c r="Z135" i="36" s="1"/>
  <c r="Y182" i="36"/>
  <c r="Z182" i="36" s="1"/>
  <c r="Y9" i="36"/>
  <c r="Z9" i="36" s="1"/>
  <c r="Y21" i="36"/>
  <c r="Z21" i="36" s="1"/>
  <c r="Y33" i="36"/>
  <c r="Z33" i="36" s="1"/>
  <c r="Y45" i="36"/>
  <c r="Z45" i="36" s="1"/>
  <c r="Y159" i="36"/>
  <c r="Z159" i="36" s="1"/>
  <c r="Y171" i="36"/>
  <c r="Z171" i="36" s="1"/>
  <c r="Y27" i="36"/>
  <c r="Z27" i="36" s="1"/>
  <c r="Y51" i="36"/>
  <c r="Z51" i="36" s="1"/>
  <c r="Y13" i="36"/>
  <c r="Z13" i="36" s="1"/>
  <c r="Y75" i="36"/>
  <c r="Z75" i="36" s="1"/>
  <c r="Y218" i="36"/>
  <c r="Z218" i="36" s="1"/>
  <c r="Y99" i="36"/>
  <c r="Z99" i="36" s="1"/>
  <c r="Y168" i="36"/>
  <c r="Z168" i="36" s="1"/>
  <c r="Y206" i="36"/>
  <c r="Z206" i="36" s="1"/>
  <c r="Y73" i="36"/>
  <c r="Z73" i="36" s="1"/>
  <c r="Y147" i="36"/>
  <c r="Z147" i="36" s="1"/>
  <c r="Y180" i="36"/>
  <c r="Z180" i="36" s="1"/>
  <c r="Y14" i="36"/>
  <c r="Z14" i="36" s="1"/>
  <c r="Y57" i="36"/>
  <c r="Z57" i="36" s="1"/>
  <c r="Y95" i="36"/>
  <c r="Z95" i="36" s="1"/>
  <c r="Y143" i="36"/>
  <c r="Z143" i="36" s="1"/>
  <c r="Y183" i="36"/>
  <c r="Z183" i="36" s="1"/>
  <c r="Y190" i="36"/>
  <c r="Z190" i="36" s="1"/>
  <c r="Y148" i="36"/>
  <c r="Z148" i="36" s="1"/>
  <c r="Y15" i="36"/>
  <c r="Z15" i="36" s="1"/>
  <c r="Y112" i="36"/>
  <c r="Z112" i="36" s="1"/>
  <c r="Y131" i="36"/>
  <c r="Z131" i="36" s="1"/>
  <c r="Y207" i="36"/>
  <c r="Z207" i="36" s="1"/>
  <c r="Z146" i="36"/>
  <c r="Y29" i="36"/>
  <c r="Z29" i="36" s="1"/>
  <c r="Y110" i="36"/>
  <c r="Z110" i="36" s="1"/>
  <c r="Y24" i="36"/>
  <c r="Z24" i="36" s="1"/>
  <c r="Y113" i="36"/>
  <c r="Z113" i="36" s="1"/>
  <c r="Y150" i="36"/>
  <c r="Z150" i="36" s="1"/>
  <c r="Y56" i="36"/>
  <c r="Z56" i="36" s="1"/>
  <c r="Y17" i="36"/>
  <c r="Z17" i="36" s="1"/>
  <c r="Y28" i="36"/>
  <c r="Z28" i="36" s="1"/>
  <c r="Y30" i="36"/>
  <c r="Z30" i="36" s="1"/>
  <c r="Y32" i="36"/>
  <c r="Z32" i="36" s="1"/>
  <c r="Y36" i="36"/>
  <c r="Z36" i="36" s="1"/>
  <c r="Y85" i="36"/>
  <c r="Z85" i="36" s="1"/>
  <c r="Y87" i="36"/>
  <c r="Z87" i="36" s="1"/>
  <c r="Y117" i="36"/>
  <c r="Z117" i="36" s="1"/>
  <c r="Y119" i="36"/>
  <c r="Z119" i="36" s="1"/>
  <c r="Y156" i="36"/>
  <c r="Z156" i="36" s="1"/>
  <c r="Y189" i="36"/>
  <c r="Z189" i="36" s="1"/>
  <c r="Y191" i="36"/>
  <c r="Z191" i="36" s="1"/>
  <c r="Z209" i="36"/>
  <c r="Y40" i="36"/>
  <c r="Z40" i="36" s="1"/>
  <c r="Y42" i="36"/>
  <c r="Z42" i="36" s="1"/>
  <c r="Y46" i="36"/>
  <c r="Z46" i="36" s="1"/>
  <c r="Y48" i="36"/>
  <c r="Z48" i="36" s="1"/>
  <c r="Y123" i="36"/>
  <c r="Z123" i="36" s="1"/>
  <c r="Y195" i="36"/>
  <c r="Z195" i="36" s="1"/>
  <c r="Y104" i="36"/>
  <c r="Z104" i="36" s="1"/>
  <c r="Y54" i="36"/>
  <c r="Z54" i="36" s="1"/>
  <c r="Y129" i="36"/>
  <c r="Z129" i="36" s="1"/>
  <c r="Y162" i="36"/>
  <c r="Z162" i="36" s="1"/>
  <c r="Y164" i="36"/>
  <c r="Z164" i="36" s="1"/>
  <c r="Z173" i="36"/>
  <c r="Y201" i="36"/>
  <c r="Z201" i="36" s="1"/>
  <c r="Y215" i="36"/>
  <c r="Z215" i="36" s="1"/>
  <c r="Y219" i="36"/>
  <c r="Z219" i="36" s="1"/>
  <c r="Y221" i="36"/>
  <c r="Z221" i="36" s="1"/>
  <c r="Y124" i="36"/>
  <c r="Z124" i="36" s="1"/>
  <c r="Y196" i="36"/>
  <c r="Z196" i="36" s="1"/>
  <c r="Y181" i="36"/>
  <c r="Z181" i="36" s="1"/>
  <c r="Y89" i="36"/>
  <c r="Z89" i="36" s="1"/>
  <c r="Y160" i="36"/>
  <c r="Z160" i="36" s="1"/>
  <c r="Y145" i="36"/>
  <c r="Z145" i="36" s="1"/>
  <c r="Y35" i="36"/>
  <c r="Z35" i="36" s="1"/>
  <c r="Y130" i="36"/>
  <c r="Z130" i="36" s="1"/>
  <c r="Y166" i="36"/>
  <c r="Z166" i="36" s="1"/>
  <c r="Y20" i="36"/>
  <c r="Z20" i="36" s="1"/>
  <c r="Y47" i="36"/>
  <c r="Z47" i="36" s="1"/>
  <c r="Y121" i="36"/>
  <c r="Z121" i="36" s="1"/>
  <c r="Y178" i="36"/>
  <c r="Z178" i="36" s="1"/>
  <c r="Y127" i="36"/>
  <c r="Z127" i="36" s="1"/>
  <c r="Y163" i="36"/>
  <c r="Z163" i="36" s="1"/>
  <c r="Y199" i="36"/>
  <c r="Z199" i="36" s="1"/>
  <c r="Y220" i="36"/>
  <c r="Z220" i="36" s="1"/>
  <c r="Y8" i="36"/>
  <c r="Z8" i="36" s="1"/>
  <c r="Y202" i="36"/>
  <c r="Z202" i="36" s="1"/>
  <c r="Y223" i="36"/>
  <c r="Z223" i="36" s="1"/>
  <c r="Y172" i="36"/>
  <c r="Z172" i="36" s="1"/>
  <c r="Y74" i="36"/>
  <c r="Z74" i="36" s="1"/>
  <c r="Y214" i="36"/>
  <c r="Z214" i="36" s="1"/>
  <c r="Z155" i="36"/>
  <c r="Y226" i="36"/>
  <c r="Z226" i="36" s="1"/>
  <c r="Y151" i="36"/>
  <c r="Z151" i="36" s="1"/>
  <c r="Y187" i="36"/>
  <c r="Z187" i="36" s="1"/>
  <c r="Y208" i="36"/>
  <c r="Z208" i="36" s="1"/>
  <c r="Y157" i="36"/>
  <c r="Z157" i="36" s="1"/>
  <c r="Y26" i="36"/>
  <c r="Z26" i="36" s="1"/>
  <c r="Y53" i="36"/>
  <c r="Z53" i="36" s="1"/>
  <c r="Y11" i="36"/>
  <c r="Z11" i="36" s="1"/>
  <c r="Y38" i="36"/>
  <c r="Z38" i="36" s="1"/>
  <c r="Y65" i="36"/>
  <c r="Z65" i="36" s="1"/>
  <c r="Y92" i="36"/>
  <c r="Z92" i="36" s="1"/>
  <c r="Y133" i="36"/>
  <c r="Z133" i="36" s="1"/>
  <c r="Y62" i="36"/>
  <c r="Z62" i="36" s="1"/>
  <c r="Y115" i="36"/>
  <c r="Z115" i="36" s="1"/>
  <c r="Y136" i="36"/>
  <c r="Z136" i="36" s="1"/>
  <c r="Y101" i="36"/>
  <c r="Z101" i="36" s="1"/>
  <c r="Y193" i="36"/>
  <c r="Z193" i="36" s="1"/>
  <c r="Z200" i="36"/>
  <c r="Y80" i="36"/>
  <c r="Z80" i="36" s="1"/>
  <c r="Y107" i="36"/>
  <c r="Z107" i="36" s="1"/>
  <c r="Y142" i="36"/>
  <c r="Z142" i="36" s="1"/>
  <c r="Y71" i="36"/>
  <c r="Z71" i="36" s="1"/>
  <c r="Y98" i="36"/>
  <c r="Z98" i="36" s="1"/>
  <c r="Y7" i="36"/>
  <c r="Z7" i="36" s="1"/>
  <c r="Y16" i="36"/>
  <c r="Z16" i="36" s="1"/>
  <c r="Y25" i="36"/>
  <c r="Z25" i="36" s="1"/>
  <c r="Y34" i="36"/>
  <c r="Z34" i="36" s="1"/>
  <c r="Y43" i="36"/>
  <c r="Z43" i="36" s="1"/>
  <c r="Y52" i="36"/>
  <c r="Z52" i="36" s="1"/>
  <c r="Y61" i="36"/>
  <c r="Z61" i="36" s="1"/>
  <c r="Y70" i="36"/>
  <c r="Z70" i="36" s="1"/>
  <c r="Y79" i="36"/>
  <c r="Z79" i="36" s="1"/>
  <c r="Y88" i="36"/>
  <c r="Z88" i="36" s="1"/>
  <c r="Y97" i="36"/>
  <c r="Z97" i="36" s="1"/>
  <c r="Y217" i="36"/>
  <c r="Z217" i="36" s="1"/>
  <c r="Y225" i="36"/>
  <c r="Z225" i="36" s="1"/>
  <c r="Y216" i="36"/>
  <c r="Z216" i="36" s="1"/>
  <c r="R7" i="35"/>
  <c r="R38" i="35"/>
  <c r="S38" i="35" s="1"/>
  <c r="R45" i="35"/>
  <c r="S45" i="35" s="1"/>
  <c r="R59" i="35"/>
  <c r="R30" i="35"/>
  <c r="R37" i="35"/>
  <c r="R24" i="35"/>
  <c r="S24" i="35" s="1"/>
  <c r="R50" i="35"/>
  <c r="R74" i="35"/>
  <c r="R13" i="35"/>
  <c r="S13" i="35" s="1"/>
  <c r="R42" i="35"/>
  <c r="R66" i="35"/>
  <c r="R77" i="35"/>
  <c r="R33" i="35"/>
  <c r="S33" i="35" s="1"/>
  <c r="R25" i="35"/>
  <c r="R14" i="35"/>
  <c r="S14" i="35" s="1"/>
  <c r="R62" i="35"/>
  <c r="R18" i="35"/>
  <c r="R23" i="35"/>
  <c r="R72" i="35"/>
  <c r="R69" i="35"/>
  <c r="S69" i="35" s="1"/>
  <c r="R16" i="35"/>
  <c r="R35" i="35"/>
  <c r="R29" i="35"/>
  <c r="R32" i="35"/>
  <c r="S54" i="35"/>
  <c r="R12" i="35"/>
  <c r="S12" i="35" s="1"/>
  <c r="R28" i="35"/>
  <c r="R73" i="35"/>
  <c r="R61" i="35"/>
  <c r="S61" i="35" s="1"/>
  <c r="R15" i="35"/>
  <c r="R49" i="35"/>
  <c r="R9" i="35"/>
  <c r="R22" i="35"/>
  <c r="R27" i="35"/>
  <c r="R67" i="35"/>
  <c r="R47" i="35"/>
  <c r="S47" i="35" s="1"/>
  <c r="R60" i="35"/>
  <c r="S60" i="35" s="1"/>
  <c r="R65" i="35"/>
  <c r="R55" i="35"/>
  <c r="R48" i="35"/>
  <c r="S48" i="35" s="1"/>
  <c r="R26" i="35"/>
  <c r="R43" i="35"/>
  <c r="S43" i="35" s="1"/>
  <c r="R79" i="35"/>
  <c r="R51" i="35"/>
  <c r="R56" i="35"/>
  <c r="R8" i="35"/>
  <c r="R81" i="35"/>
  <c r="S81" i="35" s="1"/>
  <c r="R19" i="35"/>
  <c r="S19" i="35" s="1"/>
  <c r="R21" i="35"/>
  <c r="R17" i="35"/>
  <c r="R63" i="35"/>
  <c r="R53" i="35"/>
  <c r="S53" i="35" s="1"/>
  <c r="R31" i="35"/>
  <c r="S31" i="35" s="1"/>
  <c r="R36" i="35"/>
  <c r="S36" i="35" s="1"/>
  <c r="R41" i="35"/>
  <c r="R46" i="35"/>
  <c r="R75" i="35"/>
  <c r="R68" i="35"/>
  <c r="S68" i="35" s="1"/>
  <c r="R20" i="35"/>
  <c r="S20" i="35" s="1"/>
  <c r="R34" i="35"/>
  <c r="R70" i="35"/>
  <c r="R58" i="35"/>
  <c r="R11" i="35"/>
  <c r="R39" i="35"/>
  <c r="R44" i="35"/>
  <c r="AC6" i="36" l="1"/>
  <c r="AC7" i="36"/>
  <c r="AC8" i="36"/>
  <c r="AC9" i="36"/>
  <c r="AC10" i="36"/>
  <c r="AC11" i="36"/>
  <c r="AC12" i="36"/>
  <c r="AC13" i="36"/>
  <c r="Z232" i="36"/>
  <c r="S6" i="35"/>
  <c r="S66" i="35"/>
  <c r="S40" i="35"/>
  <c r="S23" i="35"/>
  <c r="S57" i="35"/>
  <c r="S55" i="35"/>
  <c r="S79" i="35"/>
  <c r="S71" i="35"/>
  <c r="S75" i="35"/>
  <c r="S7" i="35"/>
  <c r="V14" i="35" s="1"/>
  <c r="S42" i="35"/>
  <c r="S74" i="35"/>
  <c r="S50" i="35"/>
  <c r="S64" i="35"/>
  <c r="S76" i="35"/>
  <c r="S56" i="35"/>
  <c r="S59" i="35"/>
  <c r="S9" i="35"/>
  <c r="S16" i="35"/>
  <c r="S21" i="35"/>
  <c r="S34" i="35"/>
  <c r="S52" i="35"/>
  <c r="S49" i="35"/>
  <c r="S41" i="35"/>
  <c r="S15" i="35"/>
  <c r="S18" i="35"/>
  <c r="S65" i="35"/>
  <c r="S62" i="35"/>
  <c r="S77" i="35"/>
  <c r="S35" i="35"/>
  <c r="S27" i="35"/>
  <c r="S25" i="35"/>
  <c r="S28" i="35"/>
  <c r="S37" i="35"/>
  <c r="S11" i="35"/>
  <c r="S51" i="35"/>
  <c r="S32" i="35"/>
  <c r="S44" i="35"/>
  <c r="S39" i="35"/>
  <c r="S30" i="35"/>
  <c r="S29" i="35"/>
  <c r="S26" i="35"/>
  <c r="S72" i="35"/>
  <c r="S73" i="35"/>
  <c r="S67" i="35"/>
  <c r="S70" i="35"/>
  <c r="S17" i="35"/>
  <c r="S58" i="35"/>
  <c r="S46" i="35"/>
  <c r="S22" i="35"/>
  <c r="S8" i="35"/>
  <c r="V9" i="35" s="1"/>
  <c r="S63" i="35"/>
  <c r="V8" i="35" l="1"/>
  <c r="V7" i="35"/>
  <c r="V6" i="35"/>
  <c r="V10" i="35"/>
  <c r="V11" i="35"/>
  <c r="V13" i="35"/>
  <c r="V12" i="35"/>
  <c r="S84" i="35"/>
  <c r="AF4" i="28"/>
  <c r="Z4" i="28"/>
  <c r="T4" i="28"/>
  <c r="F4" i="31"/>
  <c r="G4" i="31" s="1"/>
  <c r="F4" i="32"/>
  <c r="G4" i="32" s="1"/>
  <c r="F4" i="30"/>
  <c r="G4" i="30" s="1"/>
  <c r="G2" i="23"/>
  <c r="F2" i="23"/>
  <c r="V15" i="35" l="1"/>
  <c r="W12" i="35" s="1"/>
  <c r="H2" i="23"/>
  <c r="F6" i="23" s="1"/>
  <c r="I6" i="23" s="1"/>
  <c r="W15" i="35" l="1"/>
  <c r="W14" i="35"/>
  <c r="W8" i="35"/>
  <c r="W9" i="35"/>
  <c r="W7" i="35"/>
  <c r="W11" i="35"/>
  <c r="W13" i="35"/>
  <c r="W6" i="35"/>
  <c r="W10" i="35"/>
  <c r="F7" i="2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tc={E312DF9F-7AE0-4ADE-9ABD-47E376DA1B99}</author>
  </authors>
  <commentList>
    <comment ref="C3" authorId="0" shapeId="0" xr:uid="{E312DF9F-7AE0-4ADE-9ABD-47E376DA1B9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Matriculados 1°Semestre-data25032025 dados. Sem o EAD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tc={086A6533-7588-4545-BAC1-4085ECF643FD}</author>
  </authors>
  <commentList>
    <comment ref="C3" authorId="0" shapeId="0" xr:uid="{086A6533-7588-4545-BAC1-4085ECF643FD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Matriculados Date 25032025 sem EAD em curso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522F49E-78ED-46DC-B02B-A6747B7BB4AB}" keepAlive="1" name="Consulta - Tb_Cal_LB_M_TCC" description="Conexão com a consulta 'Tb_Cal_LB_M_TCC' na pasta de trabalho." type="5" refreshedVersion="8" background="1" saveData="1">
    <dbPr connection="Provider=Microsoft.Mashup.OleDb.1;Data Source=$Workbook$;Location=Tb_Cal_LB_M_TCC;Extended Properties=&quot;&quot;" command="SELECT * FROM [Tb_Cal_LB_M_TCC]"/>
  </connection>
</connections>
</file>

<file path=xl/sharedStrings.xml><?xml version="1.0" encoding="utf-8"?>
<sst xmlns="http://schemas.openxmlformats.org/spreadsheetml/2006/main" count="2657" uniqueCount="734">
  <si>
    <t>Código</t>
  </si>
  <si>
    <t>Unidade de Ensino</t>
  </si>
  <si>
    <t>Linha de Base</t>
  </si>
  <si>
    <t>Etec Deputado Francisco Franco</t>
  </si>
  <si>
    <t>Etec Padre José Nunes Dias</t>
  </si>
  <si>
    <t>Etec Doutor Renato Cordeiro</t>
  </si>
  <si>
    <t>Etec Irmã Agostina</t>
  </si>
  <si>
    <t>Etec de São Sebastião</t>
  </si>
  <si>
    <t>Etec Ângelo Cavalheiro</t>
  </si>
  <si>
    <t>Etec Professora Nair Luccas Ribeiro</t>
  </si>
  <si>
    <t>Etec Bento Carlos Botelho do Amaral</t>
  </si>
  <si>
    <t>Etec de Guarulhos</t>
  </si>
  <si>
    <t>Etec de Apiaí</t>
  </si>
  <si>
    <t>Etec de Poá</t>
  </si>
  <si>
    <t>Etec de Registro</t>
  </si>
  <si>
    <t>Etec Professora Marinês Teodoro de Freitas Almeida</t>
  </si>
  <si>
    <t>Etec de Araçatuba</t>
  </si>
  <si>
    <t>Etec de Taboão da Serra</t>
  </si>
  <si>
    <t>Etec de Ferraz de Vasconcelos</t>
  </si>
  <si>
    <t>Etec de Cidade Tiradentes</t>
  </si>
  <si>
    <t>Etec Professor Armando José Farinazzo</t>
  </si>
  <si>
    <t>Etec Professor José Ignácio Azevedo Filho</t>
  </si>
  <si>
    <t>Etec Bartolomeu Bueno da Silva - Anhanguera</t>
  </si>
  <si>
    <t>Etec de Hortolândia</t>
  </si>
  <si>
    <t>Etec Alberto Santos Dumont</t>
  </si>
  <si>
    <t>Etec Doutor José Coury</t>
  </si>
  <si>
    <t>Etec de Itaquaquecetuba</t>
  </si>
  <si>
    <t>Etec Sebastiana Augusta de Moraes</t>
  </si>
  <si>
    <t>Etec Professor André Bogasian</t>
  </si>
  <si>
    <t>Etec Professor Alcídio de Souza Prado</t>
  </si>
  <si>
    <t>Etec São Mateus</t>
  </si>
  <si>
    <t>Etec Professor Adhemar Batista Heméritas</t>
  </si>
  <si>
    <t>Etec Itaquera II</t>
  </si>
  <si>
    <t>Etec Professora Maria Cristina Medeiros</t>
  </si>
  <si>
    <t>Etec Gino Rezaghi</t>
  </si>
  <si>
    <t>Etec Professor Matheus Leite de Abreu</t>
  </si>
  <si>
    <t>Etec de Ibaté</t>
  </si>
  <si>
    <t>Etec Alcides Cestari</t>
  </si>
  <si>
    <t>Etec Presidente Vargas</t>
  </si>
  <si>
    <t>Etec Lauro Gomes</t>
  </si>
  <si>
    <t>Etec Professora Doutora Doroti Quiomi Kanashiro Toyohara</t>
  </si>
  <si>
    <t>Etec de Francisco Morato</t>
  </si>
  <si>
    <t>Etec Professor Carmine Biagio Tundisi</t>
  </si>
  <si>
    <t>Etec de São Paulo</t>
  </si>
  <si>
    <t>Etec Gustavo Teixeira</t>
  </si>
  <si>
    <t>Etec Augusto Tortolero Araújo</t>
  </si>
  <si>
    <t>Etec de Cotia</t>
  </si>
  <si>
    <t>Etec Jaraguá</t>
  </si>
  <si>
    <t>Etec Antônio Furlan</t>
  </si>
  <si>
    <t>Etec de Guaianazes</t>
  </si>
  <si>
    <t>Etec Parque Belém</t>
  </si>
  <si>
    <t>Etec Professora Ermelinda Giannini Teixeira</t>
  </si>
  <si>
    <t>Etec Benedito Storani</t>
  </si>
  <si>
    <t>Etec Professor Doutor José Dagnoni</t>
  </si>
  <si>
    <t>Etec Cepam</t>
  </si>
  <si>
    <t>Etec Professor Alfredo de Barros Santos</t>
  </si>
  <si>
    <t>Etec de Rio Grande da Serra</t>
  </si>
  <si>
    <t>Etec João Baptista de Lima Figueiredo</t>
  </si>
  <si>
    <t>Etec Professor Basílides de Godoy</t>
  </si>
  <si>
    <t>Etec de Itararé</t>
  </si>
  <si>
    <t>Etec Vasco Antonio Venchiarutti</t>
  </si>
  <si>
    <t>Etec Júlio de Mesquita</t>
  </si>
  <si>
    <t>Etec Carolina Carinhato Sampaio</t>
  </si>
  <si>
    <t>Etec de Piedade</t>
  </si>
  <si>
    <t>Etec Conselheiro Antonio Prado</t>
  </si>
  <si>
    <t>Etec Manoel dos Reis Araújo</t>
  </si>
  <si>
    <t>Etec Professor Camargo Aranha</t>
  </si>
  <si>
    <t>Etec de Monte Mor</t>
  </si>
  <si>
    <t>Etec de Embu</t>
  </si>
  <si>
    <t>Etec Rubens de Faria e Souza</t>
  </si>
  <si>
    <t>Etec Professor Rodolpho José Del Guerra</t>
  </si>
  <si>
    <t>Etec Coronel Raphael Brandão</t>
  </si>
  <si>
    <t>Etec Juscelino Kubitschek de Oliveira</t>
  </si>
  <si>
    <t>Etec Antonio Junqueira da Veiga</t>
  </si>
  <si>
    <t>Etec de Itanhaém</t>
  </si>
  <si>
    <t>Etec Professora Luzia Maria Machado</t>
  </si>
  <si>
    <t>Etec Zona Leste</t>
  </si>
  <si>
    <t>Etec Doutor Celso Charuri</t>
  </si>
  <si>
    <t>Etec de Caraguatatuba</t>
  </si>
  <si>
    <t>Etec Albert Einstein</t>
  </si>
  <si>
    <t>Etec de Santa Isabel</t>
  </si>
  <si>
    <t>Etec Professor Eudécio Luiz Vicente</t>
  </si>
  <si>
    <t>Etec Sebrae</t>
  </si>
  <si>
    <t>Etec Francisco Garcia</t>
  </si>
  <si>
    <t>Etec Pedro Badran</t>
  </si>
  <si>
    <t>Etec Dona Escolástica Rosa</t>
  </si>
  <si>
    <t>Etec Parque da Juventude</t>
  </si>
  <si>
    <t>Etec de Sapopemba</t>
  </si>
  <si>
    <t>Etec de Campo Limpo Paulista</t>
  </si>
  <si>
    <t>Etec de Cubatão</t>
  </si>
  <si>
    <t>Etec Jornalista Roberto Marinho</t>
  </si>
  <si>
    <t>Etec Jardim Ângela</t>
  </si>
  <si>
    <t>Etec João Gomes de Araújo</t>
  </si>
  <si>
    <t>Etec Doutor José Luiz Viana Coutinho</t>
  </si>
  <si>
    <t>Etec Professor Marcos Uchôas dos Santos Penchel</t>
  </si>
  <si>
    <t>Etec Frei Arnaldo Maria de Itaporanga</t>
  </si>
  <si>
    <t>Etec Prefeito Alberto Feres</t>
  </si>
  <si>
    <t>Etec Tereza Aparecida Cardoso Nunes de Oliveira</t>
  </si>
  <si>
    <t>Etec Mandaqui</t>
  </si>
  <si>
    <t>Etec Doutora Ruth Cardoso</t>
  </si>
  <si>
    <t>Etec Getúlio Vargas</t>
  </si>
  <si>
    <t>Etec Santa Ifigênia</t>
  </si>
  <si>
    <t>Etec Professor Urias Ferreira</t>
  </si>
  <si>
    <t>Etec João Elias Margutti</t>
  </si>
  <si>
    <t>Etec Arnaldo Pereira Cheregatti</t>
  </si>
  <si>
    <t>Etec Doutor Emílio Hernandez Aguilar</t>
  </si>
  <si>
    <t>Etec Elias Nechar</t>
  </si>
  <si>
    <t>Etec Professor José Carlos Seno Junior</t>
  </si>
  <si>
    <t>Etec de Itaquera</t>
  </si>
  <si>
    <t>Etec de Santa Rosa de Viterbo</t>
  </si>
  <si>
    <t>Etec Philadelpho Gouvea Netto</t>
  </si>
  <si>
    <t>Etec Pedro D'Arcádia Neto</t>
  </si>
  <si>
    <t>Etec de Tiquatira</t>
  </si>
  <si>
    <t>Etec de Suzano</t>
  </si>
  <si>
    <t>Etec de Carapicuíba</t>
  </si>
  <si>
    <t>Etec Professor Aprígio Gonzaga</t>
  </si>
  <si>
    <t>Etec Doutor Demétrio Azevedo Júnior</t>
  </si>
  <si>
    <t>Etec Raposo Tavares</t>
  </si>
  <si>
    <t>Etec de Mauá</t>
  </si>
  <si>
    <t>Etec Antonio Devisate</t>
  </si>
  <si>
    <t>Etec Prefeito Braz Paschoalin</t>
  </si>
  <si>
    <t>Etec de São Roque</t>
  </si>
  <si>
    <t>Etec de Santa Fé do Sul</t>
  </si>
  <si>
    <t>Etec Professor Luiz Pires Barbosa</t>
  </si>
  <si>
    <t>Etec Laurindo Alves de Queiroz</t>
  </si>
  <si>
    <t>Etec Orlando Quagliato</t>
  </si>
  <si>
    <t>Etec Comendador João Rays</t>
  </si>
  <si>
    <t>Etec Professor Mário Antônio Verza</t>
  </si>
  <si>
    <t>Etec José Rocha Mendes</t>
  </si>
  <si>
    <t>Etec Deputado Salim Sedeh</t>
  </si>
  <si>
    <t>Etec Astor de Mattos Carvalho</t>
  </si>
  <si>
    <t>Etec de Lins</t>
  </si>
  <si>
    <t>Etec Deputado Ary de Camargo Pedroso</t>
  </si>
  <si>
    <t>Etec Professor Jadyr Salles</t>
  </si>
  <si>
    <t>Etec Takashi Morita</t>
  </si>
  <si>
    <t>Etec Carlos de Campos</t>
  </si>
  <si>
    <t>Etec Trajano Camargo</t>
  </si>
  <si>
    <t>Etec Sales Gomes</t>
  </si>
  <si>
    <t>Etec Professor José Sant'Ana de Castro</t>
  </si>
  <si>
    <t>Etec Professor Fausto Mazzola</t>
  </si>
  <si>
    <t>Etec Professor Pedro Leme Brisolla Sobrinho</t>
  </si>
  <si>
    <t>Etec Uirapuru</t>
  </si>
  <si>
    <t>Etec Dr. Celso Giglio</t>
  </si>
  <si>
    <t>Etec Professora Ilza Nascimento Pintus</t>
  </si>
  <si>
    <t>Etec Professor Armando Bayeux da Silva</t>
  </si>
  <si>
    <t>Etec Doutor Geraldo José Rodrigues Alckmin</t>
  </si>
  <si>
    <t>Etec Cônego José Bento</t>
  </si>
  <si>
    <t>Etec Coronel Fernando Febeliano da Costa</t>
  </si>
  <si>
    <t>Etec Guaracy Silveira</t>
  </si>
  <si>
    <t>Etec Doutor Adail Nunes da Silva</t>
  </si>
  <si>
    <t>Etec Doutor Nelson Alves Vianna</t>
  </si>
  <si>
    <t>Etec Paulistano</t>
  </si>
  <si>
    <t>Etec Doutor Carolino da Motta e Silva</t>
  </si>
  <si>
    <t>Etec Monsenhor Antônio Magliano</t>
  </si>
  <si>
    <t>Etec Paulo Guerreiro Franco</t>
  </si>
  <si>
    <t>Etec Amim Jundi</t>
  </si>
  <si>
    <t>Etec Adolpho Berezin</t>
  </si>
  <si>
    <t>Etec Martin Luther King</t>
  </si>
  <si>
    <t>Etec Joaquim Ferreira do Amaral</t>
  </si>
  <si>
    <t>Etec Jorge Street</t>
  </si>
  <si>
    <t>Etec Polivalente de Americana</t>
  </si>
  <si>
    <t>Etec João Belarmino</t>
  </si>
  <si>
    <t>Etec de Vila Formosa</t>
  </si>
  <si>
    <t>Etec Antonio de Pádua Cardoso</t>
  </si>
  <si>
    <t>Etec Padre Carlos Leôncio da Silva</t>
  </si>
  <si>
    <t>Etec Abdias do Nascimento</t>
  </si>
  <si>
    <t>Etec Doutor Dário Pacheco Pedroso</t>
  </si>
  <si>
    <t>Etec de Artes</t>
  </si>
  <si>
    <t>Etec Professor Ídio Zucchi</t>
  </si>
  <si>
    <t>Etec de Heliópolis</t>
  </si>
  <si>
    <t>Etec Ferrucio Humberto Gazzetta</t>
  </si>
  <si>
    <t>Etec Professor Francisco dos Santos</t>
  </si>
  <si>
    <t>Etec Professora Terezinha Monteiro dos Santos</t>
  </si>
  <si>
    <t>Etec Professor Elias Miguel Júnior</t>
  </si>
  <si>
    <t>Etec Doutor Francisco Nogueira de Lima</t>
  </si>
  <si>
    <t>Etec Bento Quirino</t>
  </si>
  <si>
    <t>Etec Paulino Botelho</t>
  </si>
  <si>
    <t>Etec de Mairinque</t>
  </si>
  <si>
    <t>Etec Doutora Maria Augusta Saraiva</t>
  </si>
  <si>
    <t>Etec Machado de Assis</t>
  </si>
  <si>
    <t>Etec Engenheiro Herval Bellusci</t>
  </si>
  <si>
    <t>Etec Professor Massuyuki Kawano</t>
  </si>
  <si>
    <t>Etec Professora Anna de Oliveira Ferraz</t>
  </si>
  <si>
    <t>Etec Rosa Perrone Scavone</t>
  </si>
  <si>
    <t>Etec Professor Adolpho Arruda Mello</t>
  </si>
  <si>
    <t>Etec Martinho Di Ciero</t>
  </si>
  <si>
    <t>Etec de Vargem Grande do Sul</t>
  </si>
  <si>
    <t>Etec de Ilha Solteira</t>
  </si>
  <si>
    <t>Etec Fernando Prestes</t>
  </si>
  <si>
    <t>Etec de Praia Grande</t>
  </si>
  <si>
    <t>Etec Professor Horácio Augusto da Silveira</t>
  </si>
  <si>
    <t>Etec José Martimiano da Silva</t>
  </si>
  <si>
    <t>Etec João Maria Stevanatto</t>
  </si>
  <si>
    <t>Etec Pedro Ferreira Alves</t>
  </si>
  <si>
    <t>Etec Cidade do Livro</t>
  </si>
  <si>
    <t>Etec Sylvio de Mattos Carvalho</t>
  </si>
  <si>
    <t>Etec Tenente Aviador Gustavo Klug</t>
  </si>
  <si>
    <t>Etec Professora Carmelina Barbosa</t>
  </si>
  <si>
    <t>Etec de Mairiporã</t>
  </si>
  <si>
    <t>Etec de Peruíbe</t>
  </si>
  <si>
    <t>Etec Aristóteles Ferreira</t>
  </si>
  <si>
    <t>Etec Professor Edson Galvão</t>
  </si>
  <si>
    <t>Etec Doutor Júlio Cardoso</t>
  </si>
  <si>
    <t>Etec de Cerquilho</t>
  </si>
  <si>
    <t>Etec Professor Milton Gazzetti</t>
  </si>
  <si>
    <t>Etec Engenheiro Agrônomo Narciso de Medeiros</t>
  </si>
  <si>
    <t>Etec Waldyr Duron Junior</t>
  </si>
  <si>
    <t>Etec Deputado Paulo Ornellas Carvalho de Barros</t>
  </si>
  <si>
    <t>Etec Rodrigues de Abreu</t>
  </si>
  <si>
    <t>Etec Gildo Marçal Bezerra Brandão</t>
  </si>
  <si>
    <t>Etec Doutor Domingos Minicucci Filho</t>
  </si>
  <si>
    <t>Etec Darcy Pereira de Moraes</t>
  </si>
  <si>
    <t>Etec de Porto Feliz</t>
  </si>
  <si>
    <t>Etec Professor Carmelino Correa Júnior</t>
  </si>
  <si>
    <t>Etec Euro Albino de Souza</t>
  </si>
  <si>
    <t>Etec Armando Pannunzio</t>
  </si>
  <si>
    <t>Etec de Esportes Curt Walter Otto Baumgart</t>
  </si>
  <si>
    <t>Etec Doutor Luiz Cesar Couto</t>
  </si>
  <si>
    <t>Etec Professora Helcy Moreira Martins Aguiar</t>
  </si>
  <si>
    <t>Etec Dona Sebastiana de Barros</t>
  </si>
  <si>
    <t>Etec Prefeito José Esteves</t>
  </si>
  <si>
    <t>Etec Paulo do Carmo Monteiro</t>
  </si>
  <si>
    <t>Etec Professor Doutor Antonio Eufrásio Toledo</t>
  </si>
  <si>
    <t>Etec de Itapevi</t>
  </si>
  <si>
    <t>Etec Jacinto Ferreira de Sá</t>
  </si>
  <si>
    <t>Etec Vereador e Vice Prefeito Sérgio da Fonseca</t>
  </si>
  <si>
    <t>Etec João Jorge Geraissate</t>
  </si>
  <si>
    <t>Unidade</t>
  </si>
  <si>
    <t>*</t>
  </si>
  <si>
    <t>Etec de Sumaré</t>
  </si>
  <si>
    <t>#</t>
  </si>
  <si>
    <t>Etec Cravinhos</t>
  </si>
  <si>
    <t>Etec de Guaíra</t>
  </si>
  <si>
    <t>Etec de Bragança Paulista</t>
  </si>
  <si>
    <t>Diplomados SED</t>
  </si>
  <si>
    <t>ETEC POLIVALENTE DE AMERICANA</t>
  </si>
  <si>
    <t>ETEC CONSELHEIRO ANTONIO PRADO</t>
  </si>
  <si>
    <t>ETEC VASCO ANTONIO VENCHIARUTTI</t>
  </si>
  <si>
    <t>ETEC JOÃO BAPTISTA DE LIMA FIGUEIREDO</t>
  </si>
  <si>
    <t>ETEC LAURO GOMES</t>
  </si>
  <si>
    <t>ETEC JORGE STREET</t>
  </si>
  <si>
    <t>ETEC PROFESSOR CAMARGO ARANHA</t>
  </si>
  <si>
    <t>ETEC GETÚLIO VARGAS</t>
  </si>
  <si>
    <t>ETEC JÚLIO DE MESQUITA</t>
  </si>
  <si>
    <t>ETEC PRESIDENTE VARGAS</t>
  </si>
  <si>
    <t>ETEC FERNANDO PRESTES</t>
  </si>
  <si>
    <t>ETEC RUBENS DE FARIA E SOUZA</t>
  </si>
  <si>
    <t>ETEC DE SÃO PAULO</t>
  </si>
  <si>
    <t>ETEC DOUTOR ADAIL NUNES DA SILVA</t>
  </si>
  <si>
    <t>ETEC ALBERT EINSTEIN</t>
  </si>
  <si>
    <t>ETEC PREFEITO ALBERTO FERES</t>
  </si>
  <si>
    <t>ETEC PROFESSOR ALCÍDIO DE SOUZA PRADO</t>
  </si>
  <si>
    <t>ETEC PROFESSOR ALFREDO DE BARROS SANTOS</t>
  </si>
  <si>
    <t>ETEC AMIM JUNDI</t>
  </si>
  <si>
    <t>ETEC SEBASTIANA AUGUSTA DE MORAES</t>
  </si>
  <si>
    <t>ETEC PROFESSORA ANNA DE OLIVEIRA FERRAZ</t>
  </si>
  <si>
    <t>ETEC ANTONIO DE PÁDUA CARDOSO</t>
  </si>
  <si>
    <t>ETEC ANTONIO DEVISATE</t>
  </si>
  <si>
    <t>ETEC PROFESSOR DOUTOR ANTONIO EUFRÁSIO DE TOLEDO</t>
  </si>
  <si>
    <t>ETEC ANTONIO JUNQUEIRA DA VEIGA</t>
  </si>
  <si>
    <t>ETEC PROFESSOR APRÍGIO GONZAGA</t>
  </si>
  <si>
    <t>ETEC ARISTÓTELES FERREIRA</t>
  </si>
  <si>
    <t>ETEC PROFESSOR ARMANDO BAYEUX DA SILVA</t>
  </si>
  <si>
    <t>ETEC FREI ARNALDO MARIA DE ITAPORANGA</t>
  </si>
  <si>
    <t>ETEC ASTOR DE MATTOS CARVALHO</t>
  </si>
  <si>
    <t>ETEC AUGUSTO TORTOLERO ARAÚJO</t>
  </si>
  <si>
    <t>ETEC COMENDADOR JOÃO RAYS</t>
  </si>
  <si>
    <t>ETEC PROFESSOR BASÍLIDES DE GODOY</t>
  </si>
  <si>
    <t>ETEC BENEDITO STORANI</t>
  </si>
  <si>
    <t>ETEC BENTO QUIRINO</t>
  </si>
  <si>
    <t>ETEC PROFESSOR MARCOS UCHÔAS DOS SANTOS PENCHEL</t>
  </si>
  <si>
    <t>ETEC CARLOS DE CAMPOS</t>
  </si>
  <si>
    <t>ETEC PROFESSOR CARMELINO CORREA JÚNIOR</t>
  </si>
  <si>
    <t>ETEC DOUTOR CAROLINO DA MOTTA E SILVA</t>
  </si>
  <si>
    <t>ETEC CÔNEGO JOSÉ BENTO</t>
  </si>
  <si>
    <t>ETEC DOUTOR DÁRIO PACHECO PEDROSO</t>
  </si>
  <si>
    <t>ETEC DOUTOR DEMÉTRIO AZEVEDO JÚNIOR</t>
  </si>
  <si>
    <t>ETEC DOUTOR DOMINGOS MINICUCCI FILHO</t>
  </si>
  <si>
    <t>ETEC PROFESSORA CARMELINA BARBOSA</t>
  </si>
  <si>
    <t>ETEC PROFESSOR EDSON GALVÃO</t>
  </si>
  <si>
    <t>ETEC ELIAS NECHAR</t>
  </si>
  <si>
    <t>ETEC PROFESSOR EUDÉCIO LUIZ VICENTE</t>
  </si>
  <si>
    <t>ETEC CORONEL FERNANDO FEBELIANO DA COSTA</t>
  </si>
  <si>
    <t>ETEC PROFESSOR FRANCISCO DOS SANTOS</t>
  </si>
  <si>
    <t>ETEC DEPUTADO FRANCISCO FRANCO</t>
  </si>
  <si>
    <t>ETEC DOUTOR FRANCISCO NOGUEIRA DE LIMA</t>
  </si>
  <si>
    <t>ETEC FRANCISCO GARCIA</t>
  </si>
  <si>
    <t>ETEC GUARACY SILVEIRA</t>
  </si>
  <si>
    <t>ETEC PROFESSORA HELCY MOREIRA MARTINS AGUIAR</t>
  </si>
  <si>
    <t>ETEC ENGENHEIRO HERVAL BELLUSCI</t>
  </si>
  <si>
    <t>ETEC PROFESSOR HORÁCIO AUGUSTO DA SILVEIRA</t>
  </si>
  <si>
    <t>ETEC DE ILHA SOLTEIRA</t>
  </si>
  <si>
    <t>ETEC JACINTO FERREIRA DE SÁ</t>
  </si>
  <si>
    <t>ETEC JOÃO BELARMINO</t>
  </si>
  <si>
    <t>ETEC JOÃO GOMES DE ARAÚJO</t>
  </si>
  <si>
    <t>ETEC JOÃO JORGE GERAISSATE</t>
  </si>
  <si>
    <t>ETEC JOAQUIM FERREIRA DO AMARAL</t>
  </si>
  <si>
    <t>ETEC DOUTOR JOSÉ COURY</t>
  </si>
  <si>
    <t>ETEC PREFEITO JOSÉ ESTEVES</t>
  </si>
  <si>
    <t>ETEC DOUTOR JOSÉ LUIZ VIANA COUTINHO</t>
  </si>
  <si>
    <t>ETEC JOSÉ MARTIMIANO DA SILVA</t>
  </si>
  <si>
    <t>ETEC PADRE JOSÉ NUNES DIAS</t>
  </si>
  <si>
    <t>ETEC JOSÉ ROCHA MENDES</t>
  </si>
  <si>
    <t>ETEC PROFESSOR JOSÉ SANT'ANA DE CASTRO</t>
  </si>
  <si>
    <t>ETEC DOUTOR JÚLIO CARDOSO</t>
  </si>
  <si>
    <t>ETEC LAURINDO ALVES DE QUEIROZ</t>
  </si>
  <si>
    <t>ETEC DOUTOR LUIZ CESAR COUTO</t>
  </si>
  <si>
    <t>ETEC PROFESSOR LUIZ PIRES BARBOSA</t>
  </si>
  <si>
    <t>ETEC MACHADO DE ASSIS</t>
  </si>
  <si>
    <t>ETEC MANOEL DOS REIS ARAÚJO</t>
  </si>
  <si>
    <t>ETEC ORLANDO QUAGLIATO</t>
  </si>
  <si>
    <t>ETEC MARTIN LUTHER KING</t>
  </si>
  <si>
    <t>ETEC MARTINHO DI CIERO</t>
  </si>
  <si>
    <t>ETEC PROFESSOR MATHEUS LEITE DE ABREU</t>
  </si>
  <si>
    <t>ETEC MONSENHOR ANTÔNIO MAGLIANO</t>
  </si>
  <si>
    <t>ETEC ENGENHEIRO AGRÔNOMO NARCISO DE MEDEIROS</t>
  </si>
  <si>
    <t>ETEC PROFESSOR URIAS FERREIRA</t>
  </si>
  <si>
    <t>ETEC PAULINO BOTELHO</t>
  </si>
  <si>
    <t>ETEC PAULO GUERREIRO FRANCO</t>
  </si>
  <si>
    <t>ETEC DEPUTADO PAULO ORNELLAS CARVALHO DE BARROS</t>
  </si>
  <si>
    <t>ETEC PEDRO BADRAN</t>
  </si>
  <si>
    <t>ETEC PEDRO D'ARCÁDIA NETO</t>
  </si>
  <si>
    <t>ETEC PEDRO FERREIRA ALVES</t>
  </si>
  <si>
    <t>ETEC PROFESSOR PEDRO LEME BRISOLLA SOBRINHO</t>
  </si>
  <si>
    <t>ETEC PHILADELPHO GOUVEA NETTO</t>
  </si>
  <si>
    <t>ETEC PROFESSOR MILTON GAZZETTI</t>
  </si>
  <si>
    <t>ETEC ROSA PERRONE SCAVONE</t>
  </si>
  <si>
    <t>ETEC SALES GOMES</t>
  </si>
  <si>
    <t>ETEC DONA SEBASTIANA DE BARROS</t>
  </si>
  <si>
    <t>ETEC PROFESSOR DOUTOR SYLVIO DE MATTOS CARVALHO</t>
  </si>
  <si>
    <t>ETEC TRAJANO CAMARGO</t>
  </si>
  <si>
    <t>ETEC ADOLPHO BEREZIN</t>
  </si>
  <si>
    <t>ETEC CORONEL RAPHAEL BRANDÃO</t>
  </si>
  <si>
    <t>ETEC DEPUTADO SALIM SEDEH</t>
  </si>
  <si>
    <t>ETEC DE HORTOLÂNDIA</t>
  </si>
  <si>
    <t>ETEC DE SÃO ROQUE</t>
  </si>
  <si>
    <t>ETEC PROFESSOR DOUTOR JOSÉ DAGNONI</t>
  </si>
  <si>
    <t>ETEC DE GUAIANAZES</t>
  </si>
  <si>
    <t>ETEC DONA ESCOLÁSTICA ROSA</t>
  </si>
  <si>
    <t>ETEC DOUTOR RENATO CORDEIRO</t>
  </si>
  <si>
    <t>ETEC DOUTOR CELSO CHARURI</t>
  </si>
  <si>
    <t>ETEC DOUTOR GERALDO JOSÉ RODRIGUES ALCKMIN</t>
  </si>
  <si>
    <t>ETEC DE MAUÁ</t>
  </si>
  <si>
    <t>ETEC CAROLINA CARINHATO SAMPAIO</t>
  </si>
  <si>
    <t>ETEC RODRIGUES DE ABREU</t>
  </si>
  <si>
    <t>ETEC PROFESSOR MASSUYUKI KAWANO</t>
  </si>
  <si>
    <t>ETEC PROFESSOR ARMANDO JOSÉ FARINAZZO</t>
  </si>
  <si>
    <t>ETEC TENENTE AVIADOR GUSTAVO KLUG</t>
  </si>
  <si>
    <t>ETEC PROFESSORA TEREZINHA MONTEIRO DOS SANTOS</t>
  </si>
  <si>
    <t>ETEC PROFESSORA MARIA CRISTINA MEDEIROS</t>
  </si>
  <si>
    <t>ETEC DOUTOR EMÍLIO HERNANDEZ AGUILAR</t>
  </si>
  <si>
    <t>ETEC DE CARAPICUÍBA</t>
  </si>
  <si>
    <t>ETEC PROFESSOR FAUSTO MAZZOLA</t>
  </si>
  <si>
    <t>ETEC PROFESSOR CARMINE BIAGIO TUNDISI</t>
  </si>
  <si>
    <t>ETEC DE LINS</t>
  </si>
  <si>
    <t>ETEC PROFESSOR ANDRÉ BOGASIAN</t>
  </si>
  <si>
    <t>ETEC PROFESSOR RODOLPHO JOSÉ DEL GUERRA</t>
  </si>
  <si>
    <t>ETEC PROFESSOR ÍDIO ZUCCHI</t>
  </si>
  <si>
    <t>ETEC ALBERTO SANTOS DUMONT</t>
  </si>
  <si>
    <t>ETEC DE PRAIA GRANDE</t>
  </si>
  <si>
    <t>ETEC DOUTORA MARIA AUGUSTA SARAIVA</t>
  </si>
  <si>
    <t>ETEC PROFESSORA NAIR LUCCAS RIBEIRO</t>
  </si>
  <si>
    <t>ETEC DE ITANHAÉM</t>
  </si>
  <si>
    <t>ETEC PARQUE DA JUVENTUDE</t>
  </si>
  <si>
    <t>ETEC VEREADOR E VICE PREFEITO SÉRGIO DA FONSECA</t>
  </si>
  <si>
    <t>ETEC WALDYR DURON JUNIOR</t>
  </si>
  <si>
    <t>ETEC PROFESSOR MÁRIO ANTÔNIO VERZA</t>
  </si>
  <si>
    <t>ETEC DE ARAÇATUBA</t>
  </si>
  <si>
    <t>ETEC JUSCELINO KUBITSCHEK DE OLIVEIRA</t>
  </si>
  <si>
    <t>ETEC DE ITAQUERA</t>
  </si>
  <si>
    <t xml:space="preserve">ETEC DE FERRAZ DE VASCONCELOS </t>
  </si>
  <si>
    <t>ETEC DE SAPOPEMBA</t>
  </si>
  <si>
    <t>ETEC DE VARGEM GRANDE DO SUL</t>
  </si>
  <si>
    <t>ETEC DE ARTES</t>
  </si>
  <si>
    <t>ETEC DE CUBATÃO</t>
  </si>
  <si>
    <t>ETEC DE VILA FORMOSA</t>
  </si>
  <si>
    <t>ETEC TEREZA APARECIDA CARDOSO NUNES DE OLIVEIRA</t>
  </si>
  <si>
    <t>ETEC PROFESSORA ERMELINDA GIANNINI TEIXEIRA</t>
  </si>
  <si>
    <t>ETEC DE SÃO SEBASTIÃO</t>
  </si>
  <si>
    <t>ETEC DE SUZANO</t>
  </si>
  <si>
    <t>ETEC GINO REZAGHI</t>
  </si>
  <si>
    <t>ETEC DEPUTADO ARY DE CAMARGO PEDROSO</t>
  </si>
  <si>
    <t>ETEC DOUTORA RUTH CARDOSO</t>
  </si>
  <si>
    <t>ETEC PROFESSORA ILZA NASCIMENTO PINTUS</t>
  </si>
  <si>
    <t>ETEC PROFESSOR ELIAS MIGUEL JÚNIOR</t>
  </si>
  <si>
    <t>ETEC DE MONTE MOR</t>
  </si>
  <si>
    <t>ETEC DE CIDADE TIRADENTES</t>
  </si>
  <si>
    <t>ETEC TAKASHI MORITA</t>
  </si>
  <si>
    <t>ETEC DE CAMPO LIMPO PAULISTA</t>
  </si>
  <si>
    <t>ETEC PROFESSOR JADYR SALLES</t>
  </si>
  <si>
    <t>ETEC DE PIEDADE</t>
  </si>
  <si>
    <t>ETEC DE HELIÓPOLIS</t>
  </si>
  <si>
    <t>ETEC EURO ALBINO DE SOUZA</t>
  </si>
  <si>
    <t>ETEC PROFESSOR ADHEMAR BATISTA HEMÉRITAS</t>
  </si>
  <si>
    <t>ETEC DE TIQUATIRA</t>
  </si>
  <si>
    <t>ETEC DE POÁ</t>
  </si>
  <si>
    <t>ETEC ZONA LESTE</t>
  </si>
  <si>
    <t>ETEC PROFESSORA MARINÊS TEODORO DE FREITAS ALMEIDA</t>
  </si>
  <si>
    <t>ETEC DE CARAGUATATUBA</t>
  </si>
  <si>
    <t>ETEC ÂNGELO CAVALHEIRO</t>
  </si>
  <si>
    <t>ETEC ARNALDO PEREIRA CHEREGATTI</t>
  </si>
  <si>
    <t>ETEC JOÃO MARIA STEVANATTO</t>
  </si>
  <si>
    <t>ETEC DE SANTA ISABEL</t>
  </si>
  <si>
    <t>ETEC PARQUE BELÉM</t>
  </si>
  <si>
    <t>ETEC JARDIM ÂNGELA</t>
  </si>
  <si>
    <t>ETEC DE COTIA</t>
  </si>
  <si>
    <t>ETEC CEPAM</t>
  </si>
  <si>
    <t>ETEC ABDIAS DO NASCIMENTO</t>
  </si>
  <si>
    <t>ETEC RAPOSO TAVARES</t>
  </si>
  <si>
    <t>ETEC GILDO MARÇAL BEZERRA BRANDÃO</t>
  </si>
  <si>
    <t>ETEC SÃO MATEUS</t>
  </si>
  <si>
    <t>ETEC JARAGUÁ</t>
  </si>
  <si>
    <t>ETEC PAULISTANO</t>
  </si>
  <si>
    <t>ETEC UIRAPURU</t>
  </si>
  <si>
    <t>ETEC DE FRANCISCO MORATO</t>
  </si>
  <si>
    <t>ETEC PROFESSOR JOSÉ CARLOS SENO JUNIOR</t>
  </si>
  <si>
    <t>ETEC PROFESSOR JOSÉ IGNÁCIO AZEVEDO FILHO</t>
  </si>
  <si>
    <t>ETEC FERRUCIO HUMBERTO GAZZETTA</t>
  </si>
  <si>
    <t>ETEC DE MAIRINQUE</t>
  </si>
  <si>
    <t>ETEC GUSTAVO TEIXEIRA</t>
  </si>
  <si>
    <t>ETEC DE SANTA ROSA DO VITERBO</t>
  </si>
  <si>
    <t>ETEC IRMÃ AGOSTINA</t>
  </si>
  <si>
    <t>ETEC DE REGISTRO</t>
  </si>
  <si>
    <t>ETEC PADRE CARLOS LEÔNCIO DA SILVA</t>
  </si>
  <si>
    <t>ETEC DE EMBU</t>
  </si>
  <si>
    <t>ETEC DR CELSO GIGLIO</t>
  </si>
  <si>
    <t>ETEC DE ITARARÉ</t>
  </si>
  <si>
    <t>ETEC CIDADE DO LIVRO</t>
  </si>
  <si>
    <t>ETEC ANTÔNIO FURLAN</t>
  </si>
  <si>
    <t>ETEC DOUTOR NELSON ALVES VIANNA</t>
  </si>
  <si>
    <t>ETEC MANDAQUI</t>
  </si>
  <si>
    <t>ETEC DE CERQUILHO</t>
  </si>
  <si>
    <t>ETEC DE ITAQUAQUECETUBA</t>
  </si>
  <si>
    <t>ETEC PROFESSOR ADOLPHO ARRUDA MELLO</t>
  </si>
  <si>
    <t>ETEC JORNALISTA ROBERTO MARINHO</t>
  </si>
  <si>
    <t>ETEC PROFESSORA DOUTORA DOROTI Q. K. TOYOHARA</t>
  </si>
  <si>
    <t>ETEC ALCIDES CESTARI</t>
  </si>
  <si>
    <t>ETEC BENTO CARLOS BOTELHO DO AMARAL</t>
  </si>
  <si>
    <t>ETEC SANTA IFIGÊNIA</t>
  </si>
  <si>
    <t>ETEC DARCY PEREIRA DE MORAES</t>
  </si>
  <si>
    <t>ETEC BARTOLOMEU BUENO DA SILVA - ANHANGUERA</t>
  </si>
  <si>
    <t>ETEC DE IBATÉ</t>
  </si>
  <si>
    <t>ETEC ARMANDO PANNUNZIO</t>
  </si>
  <si>
    <t>ETEC DE PERUÍBE</t>
  </si>
  <si>
    <t>ETEC DE ESPORTES CURT WALTER OTTO BAUMGART</t>
  </si>
  <si>
    <t>ETEC PREFEITO BRAZ PASCHOALIN</t>
  </si>
  <si>
    <t>ETEC DE MAIRIPORÃ</t>
  </si>
  <si>
    <t>ETEC SEBRAE</t>
  </si>
  <si>
    <t>ETEC PROFESSORA LUZIA MARIA MACHADO</t>
  </si>
  <si>
    <t>ETEC DE SANTA FÉ DO SUL</t>
  </si>
  <si>
    <t>ETEC PAULO DO CARMO MONTEIRO</t>
  </si>
  <si>
    <t>ETEC DE APIAÍ</t>
  </si>
  <si>
    <t>ETEC DE RIO GRANDE DA SERRA</t>
  </si>
  <si>
    <t>ETEC ITAQUERA II</t>
  </si>
  <si>
    <t>ETEC JOÃO ELIAS MARGUTTI</t>
  </si>
  <si>
    <t>ETEC DE PORTO FELIZ</t>
  </si>
  <si>
    <t>ETEC DE TABOÃO DA SERRA</t>
  </si>
  <si>
    <t>ETEC DE GUARULHOS</t>
  </si>
  <si>
    <t>ETEC DE ITAPEVI</t>
  </si>
  <si>
    <t>ETEC DE SUMARÉ</t>
  </si>
  <si>
    <t>ETEC DE CRAVINHOS</t>
  </si>
  <si>
    <t>ETEC DE GUAIRA</t>
  </si>
  <si>
    <t>ETEC DE BRAGANÇA PAULISTA</t>
  </si>
  <si>
    <t>Meta Institucional TCC (N)</t>
  </si>
  <si>
    <t>Classificação</t>
  </si>
  <si>
    <t>ICM Atribuído - Grupo 1</t>
  </si>
  <si>
    <t>ICM Atribuído - Grupo 2</t>
  </si>
  <si>
    <t>ICM Atribuído - Grupo 3</t>
  </si>
  <si>
    <t>Etec Bragança Paulista</t>
  </si>
  <si>
    <t>Fatec São Paulo</t>
  </si>
  <si>
    <t>Fatec Sorocaba</t>
  </si>
  <si>
    <t>Fatec Americana</t>
  </si>
  <si>
    <t>Fatec Baixada Santista</t>
  </si>
  <si>
    <t>Fatec Jahu</t>
  </si>
  <si>
    <t>Fatec Ourinhos</t>
  </si>
  <si>
    <t>Fatec Taquaritinga</t>
  </si>
  <si>
    <t>Fatec Indaiatuba</t>
  </si>
  <si>
    <t>Fatec Guaratinguetá</t>
  </si>
  <si>
    <t>Fatec Franca</t>
  </si>
  <si>
    <t>Fatec Zona Leste</t>
  </si>
  <si>
    <t>Fatec Botucatu</t>
  </si>
  <si>
    <t>Fatec Mauá</t>
  </si>
  <si>
    <t>Fatec Jundiaí</t>
  </si>
  <si>
    <t>Fatec Garça</t>
  </si>
  <si>
    <t>Fatec Mococa</t>
  </si>
  <si>
    <t>Fatec São José do Rio Preto</t>
  </si>
  <si>
    <t>Fatec São Bernardo do Campo</t>
  </si>
  <si>
    <t>Fatec Cruzeiro</t>
  </si>
  <si>
    <t>Fatec Praia Grande</t>
  </si>
  <si>
    <t>Fatec Marília</t>
  </si>
  <si>
    <t>Fatec Itapetininga</t>
  </si>
  <si>
    <t>Fatec Tatuí</t>
  </si>
  <si>
    <t>Fatec Pindamonhangaba</t>
  </si>
  <si>
    <t>Fatec Zona Sul</t>
  </si>
  <si>
    <t>Fatec Carapicuíba</t>
  </si>
  <si>
    <t>Fatec São José dos Campos</t>
  </si>
  <si>
    <t>Fatec Itaquaquecetuba</t>
  </si>
  <si>
    <t>Fatec Presidente Prudente</t>
  </si>
  <si>
    <t>Fatec Santo André</t>
  </si>
  <si>
    <t>Fatec Mogi Mirim</t>
  </si>
  <si>
    <t>Fatec Guarulhos</t>
  </si>
  <si>
    <t>Fatec São Caetano do Sul</t>
  </si>
  <si>
    <t>Fatec Jales</t>
  </si>
  <si>
    <t>Fatec Jaboticabal</t>
  </si>
  <si>
    <t>Fatec Capão Bonito</t>
  </si>
  <si>
    <t>Fatec Piracicaba</t>
  </si>
  <si>
    <t>Fatec Sertãozinho</t>
  </si>
  <si>
    <t>Fatec Araçatuba</t>
  </si>
  <si>
    <t>Fatec Itu</t>
  </si>
  <si>
    <t>Fatec Catanduva</t>
  </si>
  <si>
    <t>Fatec Bragança Paulista</t>
  </si>
  <si>
    <t>Fatec Mogi das Cruzes</t>
  </si>
  <si>
    <t>Fatec São Sebastião</t>
  </si>
  <si>
    <t>Fatec Lins</t>
  </si>
  <si>
    <t>Fatec Bauru</t>
  </si>
  <si>
    <t>Fatec Ipiranga</t>
  </si>
  <si>
    <t>Fatec Barueri</t>
  </si>
  <si>
    <t>Fatec Osasco</t>
  </si>
  <si>
    <t>Fatec Diadema</t>
  </si>
  <si>
    <t>Fatec Tatuapé</t>
  </si>
  <si>
    <t>Fatec Taubaté</t>
  </si>
  <si>
    <t>Fatec Itaquera</t>
  </si>
  <si>
    <t>Fatec Jacareí</t>
  </si>
  <si>
    <t>Fatec Pompéia</t>
  </si>
  <si>
    <t>Fatec São Roque</t>
  </si>
  <si>
    <t>Fatec São Carlos</t>
  </si>
  <si>
    <t>Fatec Cotia</t>
  </si>
  <si>
    <t xml:space="preserve">Fatec Sebrae </t>
  </si>
  <si>
    <t>Fatec Assis</t>
  </si>
  <si>
    <t>Fatec Campinas</t>
  </si>
  <si>
    <t>Fatec Itapira</t>
  </si>
  <si>
    <t>Fatec Bebedouro</t>
  </si>
  <si>
    <t>Fatec Santana de Parnaíba</t>
  </si>
  <si>
    <t>Fatec Ribeirão Preto</t>
  </si>
  <si>
    <t>Fatec Itatiba</t>
  </si>
  <si>
    <t>Fatec Araraquara</t>
  </si>
  <si>
    <t>Fatec Araras</t>
  </si>
  <si>
    <t>Fatec Adamantina</t>
  </si>
  <si>
    <t>Fatec Ferraz de Vasconcelos</t>
  </si>
  <si>
    <t>Fatec Franco da Rocha</t>
  </si>
  <si>
    <t>Fatec Sumaré</t>
  </si>
  <si>
    <t>Fatec Matão</t>
  </si>
  <si>
    <t>Fatec Barretos</t>
  </si>
  <si>
    <t>Fatec Registro</t>
  </si>
  <si>
    <t>Fatec Votorantim</t>
  </si>
  <si>
    <t>Pontos Obtidos</t>
  </si>
  <si>
    <t>Percentual de Rendimento Obtido</t>
  </si>
  <si>
    <t>Fatec Esportes</t>
  </si>
  <si>
    <t>Número da Unidade</t>
  </si>
  <si>
    <t>Nome da Unidade</t>
  </si>
  <si>
    <t>X = Percentual de inscritos na escola de inovadores para o cumprimento de meta ( Peso 0,60)</t>
  </si>
  <si>
    <t>Y = percentual de concluinte na escola de inovadores para cumprimento de meta ( Peso 0,40)</t>
  </si>
  <si>
    <t>I3 - Índice de participação na Escola de Inovadores</t>
  </si>
  <si>
    <t>Participação</t>
  </si>
  <si>
    <t>Peso Indicador</t>
  </si>
  <si>
    <t>cod</t>
  </si>
  <si>
    <t>TOTAL DE ALUNOS</t>
  </si>
  <si>
    <t>Abaixo do Básico</t>
  </si>
  <si>
    <t>Ponderação 1</t>
  </si>
  <si>
    <t>Básico</t>
  </si>
  <si>
    <t>Ponderação 2</t>
  </si>
  <si>
    <t>Adequado</t>
  </si>
  <si>
    <t>Ponderação 3</t>
  </si>
  <si>
    <t>Avançado</t>
  </si>
  <si>
    <t>Ponderação 4</t>
  </si>
  <si>
    <t>Pontos</t>
  </si>
  <si>
    <t>Percentual Participação</t>
  </si>
  <si>
    <t>Pontos Ponderados Participação</t>
  </si>
  <si>
    <t>ICM</t>
  </si>
  <si>
    <t>Etec de Cravinhos</t>
  </si>
  <si>
    <t>Etec de Bragança</t>
  </si>
  <si>
    <t>I4 - Índice de Diplomação Técnica</t>
  </si>
  <si>
    <t>Cód.</t>
  </si>
  <si>
    <t>Total Alunos</t>
  </si>
  <si>
    <t>IACM Unidades</t>
  </si>
  <si>
    <t>IACM Ponderado-Nº  Alunos</t>
  </si>
  <si>
    <t>Total IACM Ponderado-Nº Alunos</t>
  </si>
  <si>
    <t>IACM Médio Fatecs Ponderado</t>
  </si>
  <si>
    <t>IACM Médio Fatecs</t>
  </si>
  <si>
    <t>Total de Alunos</t>
  </si>
  <si>
    <t>IACM Médio Etecs Ponderado</t>
  </si>
  <si>
    <t>IACM Médio Etecs</t>
  </si>
  <si>
    <t>Meta</t>
  </si>
  <si>
    <t>I1 - Taxa Concluinte Curso</t>
  </si>
  <si>
    <t>I2 - Avaliação Externa - Provão Paulista Seriado ( Língua Portuguesa)</t>
  </si>
  <si>
    <t>I2 - Avaliação Externa - Provão Paulista Seriado (Matemática)</t>
  </si>
  <si>
    <t>Pontos Língua Portuguesa</t>
  </si>
  <si>
    <t>Pontos Matemática</t>
  </si>
  <si>
    <t>Pontos - I3</t>
  </si>
  <si>
    <t>Índice de Diplomação Técnica</t>
  </si>
  <si>
    <t>Pontos - I4</t>
  </si>
  <si>
    <t>Pontos Máximos  para IACM</t>
  </si>
  <si>
    <t>IACM</t>
  </si>
  <si>
    <t>302</t>
  </si>
  <si>
    <t>303</t>
  </si>
  <si>
    <t>304</t>
  </si>
  <si>
    <t>306</t>
  </si>
  <si>
    <t>Fechamento</t>
  </si>
  <si>
    <t>Resultado I1</t>
  </si>
  <si>
    <t>TOTAL ALUNOS ABAIXO DO BASICO</t>
  </si>
  <si>
    <t>TOTAL ALUNOS DO BASICO</t>
  </si>
  <si>
    <t>TOTAL ALUNOS ADEQUADO</t>
  </si>
  <si>
    <t>TOTAL DE ALUNOS AVANÇADO</t>
  </si>
  <si>
    <t>Pontos Ponderados Participação ( PO)</t>
  </si>
  <si>
    <t>TOTAL DE ALUNOS ABAIXO DO BÁSICO</t>
  </si>
  <si>
    <t>TOTAL DE ALUNOS NO BÁSICO</t>
  </si>
  <si>
    <t>TOTAL DE ALUNOS ADEQUADO</t>
  </si>
  <si>
    <t>Percentual INSCRITOS - Escola de Inovadores - 2024</t>
  </si>
  <si>
    <t>Resultados Ponderados I3</t>
  </si>
  <si>
    <t>PONTOS OBTIDOS</t>
  </si>
  <si>
    <t>PONTOS</t>
  </si>
  <si>
    <t>Dados Unidade</t>
  </si>
  <si>
    <t xml:space="preserve"> ICM</t>
  </si>
  <si>
    <t>002</t>
  </si>
  <si>
    <t>003</t>
  </si>
  <si>
    <t>004</t>
  </si>
  <si>
    <t>005</t>
  </si>
  <si>
    <t>020</t>
  </si>
  <si>
    <t>021</t>
  </si>
  <si>
    <t>022</t>
  </si>
  <si>
    <t/>
  </si>
  <si>
    <t>Dados unidade2</t>
  </si>
  <si>
    <t>Dados Unidade4</t>
  </si>
  <si>
    <t>Dados Unidade7</t>
  </si>
  <si>
    <t xml:space="preserve">ICM  </t>
  </si>
  <si>
    <t xml:space="preserve">ICM    </t>
  </si>
  <si>
    <t xml:space="preserve">PONTOS </t>
  </si>
  <si>
    <t xml:space="preserve">PONTOS  </t>
  </si>
  <si>
    <t xml:space="preserve">PONTOS   </t>
  </si>
  <si>
    <t xml:space="preserve">PONTOS      </t>
  </si>
  <si>
    <t>FECHAMENTO</t>
  </si>
  <si>
    <t>I9 - IACM Médio Fatec/Etecs</t>
  </si>
  <si>
    <t>I10 -Atualização do currículo do Ensino Médio e criação/atualização dos cursos de formação profissional em consonância com o mercado de trabalho</t>
  </si>
  <si>
    <t>I11- Concluintes da formação inicial e Educação Continuada oferecida pelo Centro Paula Souza (QB-Fic)</t>
  </si>
  <si>
    <t>12 - Certificado de conclusão de capacitações, emitidos pelo Centro Paula Souza, para docentes e técnicos administrativos</t>
  </si>
  <si>
    <t>máximo de pontos 100</t>
  </si>
  <si>
    <t>Percentual</t>
  </si>
  <si>
    <t>Resultado</t>
  </si>
  <si>
    <t>ADMINISTRAÇÃO CENTRAL</t>
  </si>
  <si>
    <t>I9 - IACM Médio –  FATECs</t>
  </si>
  <si>
    <t>CALCULO DO ICM</t>
  </si>
  <si>
    <t xml:space="preserve">ICM      </t>
  </si>
  <si>
    <t xml:space="preserve">ICM         </t>
  </si>
  <si>
    <t xml:space="preserve">ICM           </t>
  </si>
  <si>
    <t>I5</t>
  </si>
  <si>
    <t>I6</t>
  </si>
  <si>
    <t>I7</t>
  </si>
  <si>
    <t>I8</t>
  </si>
  <si>
    <t xml:space="preserve"> Realizado 2024</t>
  </si>
  <si>
    <t>Realizado 2024</t>
  </si>
  <si>
    <t>ADMINISTRAÇÃO CENTRAL BR-2024</t>
  </si>
  <si>
    <t>Fatec Itapevi</t>
  </si>
  <si>
    <t>Fatec Atibaia</t>
  </si>
  <si>
    <t>Avaliação do Rendimento Escolar 2024 - ARE 2024
CESU - Coordenadoria do Ensino Superior de Graduação</t>
  </si>
  <si>
    <t>Linha de Base 2024</t>
  </si>
  <si>
    <t>Meta 2024</t>
  </si>
  <si>
    <t>Dados Unidade 1°Semestre</t>
  </si>
  <si>
    <t>1° semestre</t>
  </si>
  <si>
    <t>Dados Unidade 2°Semestre</t>
  </si>
  <si>
    <t>2° Semestre</t>
  </si>
  <si>
    <t>Matrículas de alunos em Curso 1° Semestre 2024</t>
  </si>
  <si>
    <t>Linha de Base (7,5%) 1°Semestre</t>
  </si>
  <si>
    <t>INSCRITOS - Escola de Inovadores - 1° Semestre 2024</t>
  </si>
  <si>
    <t>CONCLUINTES ESCOLA DE INOVADORES - 1° Semestre 2024</t>
  </si>
  <si>
    <t>Percentual CONCLUINTES - Escola de Inovadores 2024</t>
  </si>
  <si>
    <t>Matriculados 2°Semestre em Curso</t>
  </si>
  <si>
    <t>Linha de Base (7,5%) 2°Semestre</t>
  </si>
  <si>
    <t>INSCRITOS - Escola de Inovadores - 2°Semestre 2024</t>
  </si>
  <si>
    <t>Taxa de Inscritos 2° Semestre 2024</t>
  </si>
  <si>
    <t>X = Percentual de inscritos na escola de inovadores para o cumprimento de meta ( Peso 0,60) 2°Semestre</t>
  </si>
  <si>
    <t>CONCLUINTES ESCOLA DE INOVADORES - 2° Semestre 2024</t>
  </si>
  <si>
    <t>Percentual CONCLUINTES - Escola de Inovadores 2024 2°Semestre</t>
  </si>
  <si>
    <t>Y = percentual de concluinte na escola de inovadores para cumprimento de meta ( Peso 0,40) 2°Semestre</t>
  </si>
  <si>
    <t>CALCULO IPEI</t>
  </si>
  <si>
    <t>I3 - Índice de participação na Escola de Inovadores 2024</t>
  </si>
  <si>
    <t>1 ° Semestre 2024</t>
  </si>
  <si>
    <t>MATRICULADOS 1° Semestre 2024</t>
  </si>
  <si>
    <t>Concluintes 1°Semestre /2024</t>
  </si>
  <si>
    <t>Concluintes 2/Semestre/2024</t>
  </si>
  <si>
    <t>Total Concluintes 2024</t>
  </si>
  <si>
    <t>Etec Conselheiro Antônio Prado</t>
  </si>
  <si>
    <t>Etec de Barueri</t>
  </si>
  <si>
    <t>META 2024</t>
  </si>
  <si>
    <t>Média Global 2024 TCC (N)*</t>
  </si>
  <si>
    <t>Maior Valor TCC</t>
  </si>
  <si>
    <t>Média dos TCC Grupo 1 (TCC-REF)</t>
  </si>
  <si>
    <t>TCC_REF_GP1</t>
  </si>
  <si>
    <t>TCC_REF_GP2</t>
  </si>
  <si>
    <t>0,5 =&gt; TCC GR1</t>
  </si>
  <si>
    <t>0,5 ==&gt; TCC GR2</t>
  </si>
  <si>
    <t>0,75 ==&gt; TCC GR2</t>
  </si>
  <si>
    <t>TCC 2024</t>
  </si>
  <si>
    <t>TCC 2024 (N)</t>
  </si>
  <si>
    <t>TCC 2023(n)</t>
  </si>
  <si>
    <t xml:space="preserve">Linha de Base 2024 (N) </t>
  </si>
  <si>
    <t>Meta 2024 (N)</t>
  </si>
  <si>
    <t>ICM Atribuído - Grupo 4</t>
  </si>
  <si>
    <t>ORGANIZANDO VALORES DO ICM DE 0 A 1</t>
  </si>
  <si>
    <t>APLICANDO FORMULA GRUPO 3 - ENQUADRAMENTO</t>
  </si>
  <si>
    <t>ICM Atribuido Total</t>
  </si>
  <si>
    <t>LB</t>
  </si>
  <si>
    <t>Linha de Base 2024 Provão LP</t>
  </si>
  <si>
    <t>Meta 2024 Provão LP</t>
  </si>
  <si>
    <t>Provão 2024 - Língua Portuguesa</t>
  </si>
  <si>
    <t>Linha de Base Provão 2024 Matemática</t>
  </si>
  <si>
    <t>Meta 2024 Provão Matemática</t>
  </si>
  <si>
    <t>Provão 2024 - Matemática</t>
  </si>
  <si>
    <t>ETEC/ Indicadores - BR-2024</t>
  </si>
  <si>
    <t>FATEC/ Indicadores - BR-2024</t>
  </si>
  <si>
    <t>FATEC</t>
  </si>
  <si>
    <t>Etec</t>
  </si>
  <si>
    <t>Fatec</t>
  </si>
  <si>
    <t>META</t>
  </si>
  <si>
    <t>ETEC</t>
  </si>
  <si>
    <t>Reconhecimento e Renovação de Reconhecimento de Cursos 2024 - ARRC 2024
CESU - Coordenadoria de Ensino Superior de Graduação</t>
  </si>
  <si>
    <t>Cód. Unidade</t>
  </si>
  <si>
    <t>Quantidade Cursos Renovados</t>
  </si>
  <si>
    <t>Quantidade Cursos Reconhecidos</t>
  </si>
  <si>
    <t>I8 - Índice de participação na Escola de Inovadores - 2024</t>
  </si>
  <si>
    <t>Fatec Fatec Sorocaba</t>
  </si>
  <si>
    <t>Fatec Sebrae</t>
  </si>
  <si>
    <t xml:space="preserve">CALCULO DO ICM </t>
  </si>
  <si>
    <t xml:space="preserve">ICM </t>
  </si>
  <si>
    <t>Intervalo</t>
  </si>
  <si>
    <t>Quantidade</t>
  </si>
  <si>
    <t>&gt;=0,90 e &lt;1,00</t>
  </si>
  <si>
    <t>&gt;=0,80 e &lt;0,90</t>
  </si>
  <si>
    <t>&gt;=0,70 e &lt;0,80</t>
  </si>
  <si>
    <t>&gt;=0,60 e &lt;0,70</t>
  </si>
  <si>
    <t>&gt;=0,50 e &lt;0,60</t>
  </si>
  <si>
    <t>&gt;=0,40 e &lt;0,50</t>
  </si>
  <si>
    <t>&lt; 0,40</t>
  </si>
  <si>
    <t>Sem IACM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</si>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</sst>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-* #,##0.00_-;\-* #,##0.00_-;_-* &quot;-&quot;??_-;_-@_-"/>
    <numFmt numFmtId="164" formatCode="0.0000%"/>
    <numFmt numFmtId="165" formatCode="_-* #,##0_-;\-* #,##0_-;_-* &quot;-&quot;??_-;_-@_-"/>
    <numFmt numFmtId="166" formatCode="0.0000"/>
    <numFmt numFmtId="167" formatCode="000"/>
    <numFmt numFmtId="168" formatCode="#,##0.0000_ ;\-#,##0.0000\ "/>
    <numFmt numFmtId="169" formatCode="#,##0;[Red]#,##0"/>
    <numFmt numFmtId="170" formatCode="#,##0.0000"/>
  </numFmts>
  <fonts count="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8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ptos Narrow"/>
      <family val="2"/>
    </font>
    <font>
      <b/>
      <sz val="9"/>
      <color rgb="FF000000"/>
      <name val="Aptos Narrow"/>
      <family val="2"/>
    </font>
    <font>
      <b/>
      <sz val="10"/>
      <color rgb="FF000000"/>
      <name val="Calibri"/>
      <family val="2"/>
    </font>
    <font>
      <b/>
      <sz val="10"/>
      <color rgb="FF0D0D0D"/>
      <name val="Calibri"/>
      <family val="2"/>
    </font>
    <font>
      <sz val="10"/>
      <color rgb="FF000000"/>
      <name val="Aptos Narrow"/>
      <family val="2"/>
    </font>
    <font>
      <b/>
      <sz val="10"/>
      <color rgb="FF215C98"/>
      <name val="Calibri"/>
      <family val="2"/>
    </font>
    <font>
      <sz val="10"/>
      <color rgb="FF0D0D0D"/>
      <name val="Calibri"/>
      <family val="2"/>
    </font>
    <font>
      <sz val="10"/>
      <color rgb="FF215C98"/>
      <name val="Calibri"/>
      <family val="2"/>
    </font>
    <font>
      <sz val="9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0"/>
      <color theme="4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2"/>
      <color theme="1"/>
      <name val="Aptos Narrow"/>
      <family val="2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sz val="14"/>
      <color rgb="FF000000"/>
      <name val="Calibri"/>
      <family val="2"/>
    </font>
    <font>
      <sz val="14"/>
      <name val="Calibri"/>
      <family val="2"/>
      <scheme val="minor"/>
    </font>
    <font>
      <sz val="14"/>
      <name val="Calibri"/>
      <family val="2"/>
    </font>
    <font>
      <sz val="14"/>
      <color theme="1"/>
      <name val="Calibri"/>
      <family val="2"/>
    </font>
    <font>
      <sz val="14"/>
      <color theme="1"/>
      <name val="Aptos Narrow"/>
      <family val="2"/>
    </font>
    <font>
      <b/>
      <sz val="14"/>
      <color rgb="FFFFFFFF"/>
      <name val="Times New Roman"/>
      <family val="1"/>
    </font>
    <font>
      <sz val="14"/>
      <color rgb="FF000000"/>
      <name val="Times New Roman"/>
      <family val="1"/>
    </font>
    <font>
      <sz val="14"/>
      <color rgb="FF000000"/>
      <name val="Calibri"/>
      <family val="2"/>
      <scheme val="minor"/>
    </font>
    <font>
      <b/>
      <sz val="14"/>
      <color rgb="FF000000"/>
      <name val="Times New Roman"/>
      <family val="1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4"/>
      <color rgb="FF000000"/>
      <name val="Calibri"/>
      <family val="2"/>
    </font>
    <font>
      <sz val="12"/>
      <color theme="0"/>
      <name val="Calibri"/>
      <family val="2"/>
      <scheme val="minor"/>
    </font>
    <font>
      <b/>
      <sz val="12"/>
      <name val="Calibri"/>
      <family val="2"/>
    </font>
    <font>
      <b/>
      <sz val="11"/>
      <color theme="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 Light"/>
      <family val="2"/>
      <scheme val="major"/>
    </font>
    <font>
      <b/>
      <sz val="12"/>
      <color rgb="FF215C98"/>
      <name val="Calibri"/>
      <family val="2"/>
    </font>
    <font>
      <b/>
      <sz val="12"/>
      <color rgb="FF000000"/>
      <name val="Aptos Narrow"/>
      <family val="2"/>
    </font>
    <font>
      <sz val="12"/>
      <color rgb="FF000000"/>
      <name val="Aptos Narrow"/>
      <family val="2"/>
    </font>
    <font>
      <b/>
      <sz val="9"/>
      <color theme="0"/>
      <name val="Calibri Light"/>
      <family val="2"/>
      <scheme val="major"/>
    </font>
    <font>
      <b/>
      <sz val="16"/>
      <color theme="0"/>
      <name val="Aptos Narrow"/>
      <family val="2"/>
    </font>
    <font>
      <b/>
      <sz val="14"/>
      <color rgb="FF0D0D0D"/>
      <name val="Calibri"/>
      <family val="2"/>
    </font>
    <font>
      <sz val="14"/>
      <color rgb="FF0D0D0D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CCFF"/>
        <bgColor rgb="FF000000"/>
      </patternFill>
    </fill>
    <fill>
      <patternFill patternType="solid">
        <fgColor rgb="FFE8E8E8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-0.249977111117893"/>
        <bgColor theme="4"/>
      </patternFill>
    </fill>
    <fill>
      <patternFill patternType="solid">
        <fgColor theme="5" tint="0.39997558519241921"/>
        <bgColor theme="4"/>
      </patternFill>
    </fill>
    <fill>
      <patternFill patternType="solid">
        <fgColor rgb="FFFFFF00"/>
        <bgColor theme="4"/>
      </patternFill>
    </fill>
    <fill>
      <patternFill patternType="solid">
        <fgColor theme="2" tint="-0.499984740745262"/>
        <bgColor theme="4"/>
      </patternFill>
    </fill>
    <fill>
      <patternFill patternType="solid">
        <fgColor rgb="FFFFFFFF"/>
        <bgColor rgb="FFB4C6E7"/>
      </patternFill>
    </fill>
    <fill>
      <patternFill patternType="solid">
        <fgColor rgb="FFFFFFFF"/>
        <bgColor rgb="FFD9E1F2"/>
      </patternFill>
    </fill>
    <fill>
      <patternFill patternType="solid">
        <fgColor theme="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rgb="FF000000"/>
      </patternFill>
    </fill>
    <fill>
      <patternFill patternType="solid">
        <fgColor theme="0" tint="-0.14999847407452621"/>
        <bgColor theme="4" tint="0.59999389629810485"/>
      </patternFill>
    </fill>
    <fill>
      <patternFill patternType="solid">
        <fgColor theme="2"/>
        <bgColor theme="4" tint="0.79998168889431442"/>
      </patternFill>
    </fill>
    <fill>
      <patternFill patternType="solid">
        <fgColor theme="2"/>
        <bgColor theme="4" tint="0.5999938962981048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rgb="FFB4C6E7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rgb="FFD9E1F2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indexed="64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 style="thin">
        <color rgb="FF808080"/>
      </top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indexed="64"/>
      </top>
      <bottom/>
      <diagonal/>
    </border>
    <border>
      <left style="thin">
        <color rgb="FF808080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rgb="FFD9D9D9"/>
      </left>
      <right style="dotted">
        <color rgb="FFD9D9D9"/>
      </right>
      <top style="dotted">
        <color rgb="FFD9D9D9"/>
      </top>
      <bottom style="dotted">
        <color rgb="FFD9D9D9"/>
      </bottom>
      <diagonal/>
    </border>
    <border>
      <left/>
      <right style="dotted">
        <color rgb="FFD9D9D9"/>
      </right>
      <top style="dotted">
        <color rgb="FFD9D9D9"/>
      </top>
      <bottom style="dotted">
        <color rgb="FFD9D9D9"/>
      </bottom>
      <diagonal/>
    </border>
    <border>
      <left/>
      <right style="dotted">
        <color rgb="FFD9D9D9"/>
      </right>
      <top/>
      <bottom style="dotted">
        <color rgb="FFD9D9D9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indexed="64"/>
      </right>
      <top/>
      <bottom style="thin">
        <color rgb="FF808080"/>
      </bottom>
      <diagonal/>
    </border>
    <border>
      <left style="thin">
        <color theme="1"/>
      </left>
      <right/>
      <top/>
      <bottom/>
      <diagonal/>
    </border>
    <border>
      <left/>
      <right/>
      <top style="thin">
        <color rgb="FF808080"/>
      </top>
      <bottom style="thin">
        <color indexed="64"/>
      </bottom>
      <diagonal/>
    </border>
    <border>
      <left style="dotted">
        <color rgb="FFD9D9D9"/>
      </left>
      <right style="dotted">
        <color rgb="FFD9D9D9"/>
      </right>
      <top style="dotted">
        <color rgb="FFD9D9D9"/>
      </top>
      <bottom/>
      <diagonal/>
    </border>
    <border>
      <left/>
      <right style="dotted">
        <color rgb="FFD9D9D9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/>
      <top style="thin">
        <color theme="1"/>
      </top>
      <bottom style="hair">
        <color theme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</cellStyleXfs>
  <cellXfs count="627">
    <xf numFmtId="0" fontId="0" fillId="0" borderId="0" xfId="0"/>
    <xf numFmtId="0" fontId="3" fillId="0" borderId="0" xfId="0" applyFont="1"/>
    <xf numFmtId="0" fontId="7" fillId="0" borderId="2" xfId="0" applyFont="1" applyBorder="1"/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/>
    <xf numFmtId="0" fontId="9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" fontId="9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/>
    <xf numFmtId="0" fontId="9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6" fontId="9" fillId="0" borderId="16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/>
    <xf numFmtId="0" fontId="3" fillId="0" borderId="2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166" fontId="3" fillId="0" borderId="1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3" fillId="0" borderId="13" xfId="0" applyNumberFormat="1" applyFont="1" applyBorder="1"/>
    <xf numFmtId="0" fontId="13" fillId="0" borderId="0" xfId="0" applyFont="1"/>
    <xf numFmtId="0" fontId="12" fillId="0" borderId="0" xfId="0" applyFont="1"/>
    <xf numFmtId="2" fontId="12" fillId="0" borderId="0" xfId="0" applyNumberFormat="1" applyFont="1"/>
    <xf numFmtId="0" fontId="4" fillId="0" borderId="28" xfId="0" applyFont="1" applyBorder="1" applyAlignment="1">
      <alignment horizontal="center" vertical="center"/>
    </xf>
    <xf numFmtId="166" fontId="3" fillId="0" borderId="28" xfId="0" applyNumberFormat="1" applyFont="1" applyBorder="1" applyAlignment="1">
      <alignment horizontal="center" vertical="top"/>
    </xf>
    <xf numFmtId="0" fontId="4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2" fontId="0" fillId="0" borderId="13" xfId="0" applyNumberFormat="1" applyBorder="1"/>
    <xf numFmtId="169" fontId="12" fillId="3" borderId="9" xfId="0" applyNumberFormat="1" applyFont="1" applyFill="1" applyBorder="1" applyAlignment="1">
      <alignment vertical="center"/>
    </xf>
    <xf numFmtId="166" fontId="12" fillId="3" borderId="22" xfId="0" applyNumberFormat="1" applyFont="1" applyFill="1" applyBorder="1" applyAlignment="1">
      <alignment vertical="center"/>
    </xf>
    <xf numFmtId="0" fontId="12" fillId="3" borderId="22" xfId="0" applyFont="1" applyFill="1" applyBorder="1" applyAlignment="1">
      <alignment vertical="center"/>
    </xf>
    <xf numFmtId="166" fontId="12" fillId="0" borderId="0" xfId="0" applyNumberFormat="1" applyFont="1" applyAlignment="1">
      <alignment horizontal="center"/>
    </xf>
    <xf numFmtId="1" fontId="7" fillId="0" borderId="29" xfId="0" applyNumberFormat="1" applyFont="1" applyBorder="1" applyAlignment="1">
      <alignment horizontal="center" vertical="center"/>
    </xf>
    <xf numFmtId="1" fontId="7" fillId="0" borderId="32" xfId="0" applyNumberFormat="1" applyFont="1" applyBorder="1" applyAlignment="1">
      <alignment horizontal="center" vertical="center"/>
    </xf>
    <xf numFmtId="1" fontId="9" fillId="0" borderId="32" xfId="0" applyNumberFormat="1" applyFont="1" applyBorder="1" applyAlignment="1">
      <alignment horizontal="center" vertical="center"/>
    </xf>
    <xf numFmtId="1" fontId="9" fillId="0" borderId="32" xfId="5" applyNumberFormat="1" applyFont="1" applyBorder="1" applyAlignment="1">
      <alignment horizontal="center" vertical="center"/>
    </xf>
    <xf numFmtId="1" fontId="7" fillId="0" borderId="33" xfId="0" applyNumberFormat="1" applyFont="1" applyBorder="1" applyAlignment="1">
      <alignment horizontal="center" vertical="center"/>
    </xf>
    <xf numFmtId="166" fontId="2" fillId="0" borderId="0" xfId="0" applyNumberFormat="1" applyFont="1"/>
    <xf numFmtId="0" fontId="0" fillId="8" borderId="0" xfId="0" applyFill="1"/>
    <xf numFmtId="0" fontId="17" fillId="0" borderId="0" xfId="0" applyFont="1"/>
    <xf numFmtId="166" fontId="9" fillId="0" borderId="13" xfId="0" applyNumberFormat="1" applyFont="1" applyBorder="1" applyAlignment="1">
      <alignment horizontal="center" vertical="center" wrapText="1"/>
    </xf>
    <xf numFmtId="0" fontId="16" fillId="0" borderId="0" xfId="0" applyFont="1"/>
    <xf numFmtId="166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9" fontId="7" fillId="0" borderId="30" xfId="0" applyNumberFormat="1" applyFont="1" applyBorder="1" applyAlignment="1">
      <alignment horizontal="center" vertical="center"/>
    </xf>
    <xf numFmtId="166" fontId="7" fillId="0" borderId="30" xfId="0" applyNumberFormat="1" applyFont="1" applyBorder="1" applyAlignment="1">
      <alignment horizontal="center" vertical="center"/>
    </xf>
    <xf numFmtId="169" fontId="7" fillId="0" borderId="28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169" fontId="7" fillId="0" borderId="34" xfId="0" applyNumberFormat="1" applyFont="1" applyBorder="1" applyAlignment="1">
      <alignment horizontal="center" vertical="center"/>
    </xf>
    <xf numFmtId="166" fontId="7" fillId="0" borderId="34" xfId="0" applyNumberFormat="1" applyFont="1" applyBorder="1" applyAlignment="1">
      <alignment horizontal="center" vertical="center"/>
    </xf>
    <xf numFmtId="0" fontId="0" fillId="20" borderId="0" xfId="0" applyFill="1"/>
    <xf numFmtId="0" fontId="0" fillId="22" borderId="0" xfId="0" applyFill="1"/>
    <xf numFmtId="0" fontId="0" fillId="9" borderId="0" xfId="0" applyFill="1"/>
    <xf numFmtId="0" fontId="0" fillId="18" borderId="0" xfId="0" applyFill="1"/>
    <xf numFmtId="0" fontId="14" fillId="0" borderId="50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 wrapText="1"/>
    </xf>
    <xf numFmtId="0" fontId="14" fillId="22" borderId="53" xfId="0" applyFont="1" applyFill="1" applyBorder="1" applyAlignment="1">
      <alignment horizontal="center" vertical="center"/>
    </xf>
    <xf numFmtId="0" fontId="14" fillId="22" borderId="57" xfId="0" applyFont="1" applyFill="1" applyBorder="1" applyAlignment="1">
      <alignment horizontal="center" vertical="center"/>
    </xf>
    <xf numFmtId="166" fontId="14" fillId="22" borderId="57" xfId="1" applyNumberFormat="1" applyFont="1" applyFill="1" applyBorder="1" applyAlignment="1">
      <alignment horizontal="center" vertical="center"/>
    </xf>
    <xf numFmtId="1" fontId="14" fillId="9" borderId="57" xfId="0" applyNumberFormat="1" applyFont="1" applyFill="1" applyBorder="1" applyAlignment="1">
      <alignment horizontal="center" vertical="center"/>
    </xf>
    <xf numFmtId="166" fontId="14" fillId="9" borderId="57" xfId="0" applyNumberFormat="1" applyFont="1" applyFill="1" applyBorder="1" applyAlignment="1">
      <alignment horizontal="center" vertical="center"/>
    </xf>
    <xf numFmtId="166" fontId="14" fillId="9" borderId="57" xfId="1" applyNumberFormat="1" applyFont="1" applyFill="1" applyBorder="1" applyAlignment="1">
      <alignment horizontal="center" vertical="center"/>
    </xf>
    <xf numFmtId="1" fontId="14" fillId="18" borderId="57" xfId="0" applyNumberFormat="1" applyFont="1" applyFill="1" applyBorder="1" applyAlignment="1">
      <alignment horizontal="center" vertical="center"/>
    </xf>
    <xf numFmtId="166" fontId="14" fillId="18" borderId="57" xfId="0" applyNumberFormat="1" applyFont="1" applyFill="1" applyBorder="1" applyAlignment="1">
      <alignment horizontal="center" vertical="center"/>
    </xf>
    <xf numFmtId="166" fontId="14" fillId="18" borderId="57" xfId="1" applyNumberFormat="1" applyFont="1" applyFill="1" applyBorder="1" applyAlignment="1">
      <alignment horizontal="center" vertical="center"/>
    </xf>
    <xf numFmtId="0" fontId="20" fillId="21" borderId="23" xfId="0" applyFont="1" applyFill="1" applyBorder="1" applyAlignment="1">
      <alignment horizontal="center" vertical="center" wrapText="1"/>
    </xf>
    <xf numFmtId="0" fontId="20" fillId="21" borderId="23" xfId="0" applyFont="1" applyFill="1" applyBorder="1" applyAlignment="1">
      <alignment vertical="center" wrapText="1"/>
    </xf>
    <xf numFmtId="0" fontId="23" fillId="22" borderId="50" xfId="0" applyFont="1" applyFill="1" applyBorder="1" applyAlignment="1">
      <alignment horizontal="center" vertical="center" wrapText="1"/>
    </xf>
    <xf numFmtId="166" fontId="23" fillId="22" borderId="22" xfId="0" applyNumberFormat="1" applyFont="1" applyFill="1" applyBorder="1" applyAlignment="1">
      <alignment horizontal="center" vertical="center" wrapText="1"/>
    </xf>
    <xf numFmtId="166" fontId="23" fillId="22" borderId="22" xfId="1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2" xfId="0" applyFont="1" applyFill="1" applyBorder="1"/>
    <xf numFmtId="0" fontId="9" fillId="4" borderId="2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7" fillId="4" borderId="6" xfId="0" applyFont="1" applyFill="1" applyBorder="1"/>
    <xf numFmtId="0" fontId="7" fillId="0" borderId="2" xfId="0" applyFont="1" applyBorder="1" applyAlignment="1">
      <alignment horizontal="center" vertical="center"/>
    </xf>
    <xf numFmtId="166" fontId="7" fillId="0" borderId="31" xfId="0" applyNumberFormat="1" applyFont="1" applyBorder="1" applyAlignment="1">
      <alignment horizontal="center" vertical="center"/>
    </xf>
    <xf numFmtId="166" fontId="3" fillId="0" borderId="28" xfId="0" applyNumberFormat="1" applyFont="1" applyBorder="1" applyAlignment="1">
      <alignment horizontal="center" vertical="center"/>
    </xf>
    <xf numFmtId="0" fontId="20" fillId="26" borderId="10" xfId="0" applyFont="1" applyFill="1" applyBorder="1" applyAlignment="1">
      <alignment horizontal="center" vertical="center" wrapText="1"/>
    </xf>
    <xf numFmtId="0" fontId="20" fillId="26" borderId="10" xfId="0" applyFont="1" applyFill="1" applyBorder="1" applyAlignment="1">
      <alignment vertical="center" wrapText="1"/>
    </xf>
    <xf numFmtId="0" fontId="20" fillId="26" borderId="42" xfId="0" applyFont="1" applyFill="1" applyBorder="1" applyAlignment="1">
      <alignment vertical="center" wrapText="1"/>
    </xf>
    <xf numFmtId="0" fontId="14" fillId="26" borderId="2" xfId="0" applyFont="1" applyFill="1" applyBorder="1" applyAlignment="1">
      <alignment horizontal="center" vertical="center" wrapText="1"/>
    </xf>
    <xf numFmtId="0" fontId="19" fillId="24" borderId="2" xfId="0" applyFont="1" applyFill="1" applyBorder="1" applyAlignment="1">
      <alignment horizontal="center" vertical="center" wrapText="1"/>
    </xf>
    <xf numFmtId="0" fontId="19" fillId="8" borderId="40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 wrapText="1"/>
    </xf>
    <xf numFmtId="0" fontId="14" fillId="22" borderId="6" xfId="0" applyFont="1" applyFill="1" applyBorder="1" applyAlignment="1">
      <alignment horizontal="center" vertical="center"/>
    </xf>
    <xf numFmtId="166" fontId="14" fillId="22" borderId="6" xfId="1" applyNumberFormat="1" applyFont="1" applyFill="1" applyBorder="1" applyAlignment="1">
      <alignment horizontal="center" vertical="center"/>
    </xf>
    <xf numFmtId="166" fontId="24" fillId="22" borderId="6" xfId="0" applyNumberFormat="1" applyFont="1" applyFill="1" applyBorder="1" applyAlignment="1">
      <alignment horizontal="center" vertical="center"/>
    </xf>
    <xf numFmtId="166" fontId="24" fillId="9" borderId="6" xfId="0" applyNumberFormat="1" applyFont="1" applyFill="1" applyBorder="1" applyAlignment="1">
      <alignment horizontal="center" vertical="center"/>
    </xf>
    <xf numFmtId="1" fontId="14" fillId="18" borderId="6" xfId="0" applyNumberFormat="1" applyFont="1" applyFill="1" applyBorder="1" applyAlignment="1">
      <alignment horizontal="center" vertical="center"/>
    </xf>
    <xf numFmtId="166" fontId="14" fillId="18" borderId="6" xfId="0" applyNumberFormat="1" applyFont="1" applyFill="1" applyBorder="1" applyAlignment="1">
      <alignment horizontal="center" vertical="center"/>
    </xf>
    <xf numFmtId="166" fontId="14" fillId="18" borderId="6" xfId="1" applyNumberFormat="1" applyFont="1" applyFill="1" applyBorder="1" applyAlignment="1">
      <alignment horizontal="center" vertical="center"/>
    </xf>
    <xf numFmtId="166" fontId="24" fillId="18" borderId="6" xfId="0" applyNumberFormat="1" applyFont="1" applyFill="1" applyBorder="1" applyAlignment="1">
      <alignment horizontal="center" vertical="center"/>
    </xf>
    <xf numFmtId="1" fontId="19" fillId="8" borderId="6" xfId="0" applyNumberFormat="1" applyFont="1" applyFill="1" applyBorder="1" applyAlignment="1">
      <alignment horizontal="center" vertical="center"/>
    </xf>
    <xf numFmtId="166" fontId="19" fillId="8" borderId="6" xfId="0" applyNumberFormat="1" applyFont="1" applyFill="1" applyBorder="1" applyAlignment="1">
      <alignment horizontal="center" vertical="center"/>
    </xf>
    <xf numFmtId="166" fontId="19" fillId="8" borderId="41" xfId="0" applyNumberFormat="1" applyFont="1" applyFill="1" applyBorder="1" applyAlignment="1">
      <alignment horizontal="center" vertical="center"/>
    </xf>
    <xf numFmtId="1" fontId="19" fillId="18" borderId="57" xfId="0" applyNumberFormat="1" applyFont="1" applyFill="1" applyBorder="1" applyAlignment="1">
      <alignment horizontal="center" vertical="center"/>
    </xf>
    <xf numFmtId="166" fontId="3" fillId="0" borderId="63" xfId="0" applyNumberFormat="1" applyFont="1" applyBorder="1" applyAlignment="1">
      <alignment horizontal="center" vertical="center"/>
    </xf>
    <xf numFmtId="166" fontId="3" fillId="0" borderId="43" xfId="0" applyNumberFormat="1" applyFont="1" applyBorder="1" applyAlignment="1">
      <alignment horizontal="center" vertical="center"/>
    </xf>
    <xf numFmtId="166" fontId="3" fillId="0" borderId="12" xfId="0" applyNumberFormat="1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6" xfId="0" applyFont="1" applyBorder="1"/>
    <xf numFmtId="0" fontId="3" fillId="0" borderId="11" xfId="0" applyFont="1" applyBorder="1" applyAlignment="1">
      <alignment horizontal="center" vertical="center"/>
    </xf>
    <xf numFmtId="166" fontId="3" fillId="0" borderId="62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9" fontId="26" fillId="0" borderId="0" xfId="1" applyFont="1" applyFill="1" applyAlignment="1">
      <alignment horizontal="left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0" fontId="26" fillId="0" borderId="0" xfId="0" applyFont="1" applyAlignment="1">
      <alignment horizontal="left"/>
    </xf>
    <xf numFmtId="0" fontId="7" fillId="30" borderId="12" xfId="0" applyFont="1" applyFill="1" applyBorder="1" applyAlignment="1">
      <alignment horizontal="center" vertical="center"/>
    </xf>
    <xf numFmtId="0" fontId="7" fillId="30" borderId="2" xfId="0" applyFont="1" applyFill="1" applyBorder="1"/>
    <xf numFmtId="0" fontId="9" fillId="30" borderId="2" xfId="0" applyFont="1" applyFill="1" applyBorder="1" applyAlignment="1">
      <alignment horizontal="center" vertical="center" wrapText="1"/>
    </xf>
    <xf numFmtId="166" fontId="9" fillId="4" borderId="16" xfId="0" applyNumberFormat="1" applyFont="1" applyFill="1" applyBorder="1" applyAlignment="1">
      <alignment horizontal="center" vertical="center" wrapText="1"/>
    </xf>
    <xf numFmtId="166" fontId="9" fillId="4" borderId="1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0" fillId="34" borderId="0" xfId="0" applyFill="1"/>
    <xf numFmtId="0" fontId="0" fillId="12" borderId="0" xfId="0" applyFill="1"/>
    <xf numFmtId="0" fontId="8" fillId="18" borderId="12" xfId="0" applyFont="1" applyFill="1" applyBorder="1" applyAlignment="1">
      <alignment horizontal="center" vertical="center"/>
    </xf>
    <xf numFmtId="3" fontId="29" fillId="0" borderId="2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166" fontId="9" fillId="3" borderId="2" xfId="0" applyNumberFormat="1" applyFont="1" applyFill="1" applyBorder="1" applyAlignment="1">
      <alignment horizontal="center" vertical="center"/>
    </xf>
    <xf numFmtId="166" fontId="2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1" fontId="29" fillId="0" borderId="2" xfId="0" applyNumberFormat="1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170" fontId="9" fillId="3" borderId="2" xfId="0" applyNumberFormat="1" applyFont="1" applyFill="1" applyBorder="1" applyAlignment="1">
      <alignment horizontal="center" vertical="center" wrapText="1"/>
    </xf>
    <xf numFmtId="170" fontId="29" fillId="3" borderId="2" xfId="0" applyNumberFormat="1" applyFont="1" applyFill="1" applyBorder="1" applyAlignment="1">
      <alignment horizontal="center" vertical="center" wrapText="1"/>
    </xf>
    <xf numFmtId="166" fontId="25" fillId="34" borderId="2" xfId="0" applyNumberFormat="1" applyFont="1" applyFill="1" applyBorder="1" applyAlignment="1">
      <alignment horizontal="center" vertical="center"/>
    </xf>
    <xf numFmtId="0" fontId="29" fillId="18" borderId="12" xfId="3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 readingOrder="1"/>
    </xf>
    <xf numFmtId="0" fontId="11" fillId="3" borderId="2" xfId="0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0" fontId="21" fillId="0" borderId="44" xfId="0" applyFont="1" applyBorder="1" applyAlignment="1">
      <alignment vertical="center" wrapText="1"/>
    </xf>
    <xf numFmtId="0" fontId="18" fillId="0" borderId="44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1" fontId="4" fillId="0" borderId="28" xfId="0" applyNumberFormat="1" applyFont="1" applyBorder="1" applyAlignment="1">
      <alignment horizontal="center" vertical="center"/>
    </xf>
    <xf numFmtId="166" fontId="14" fillId="26" borderId="2" xfId="0" applyNumberFormat="1" applyFont="1" applyFill="1" applyBorder="1" applyAlignment="1">
      <alignment horizontal="center" vertical="center" wrapText="1"/>
    </xf>
    <xf numFmtId="166" fontId="23" fillId="22" borderId="50" xfId="0" applyNumberFormat="1" applyFont="1" applyFill="1" applyBorder="1" applyAlignment="1">
      <alignment horizontal="center" vertical="center" wrapText="1"/>
    </xf>
    <xf numFmtId="166" fontId="32" fillId="26" borderId="2" xfId="0" applyNumberFormat="1" applyFont="1" applyFill="1" applyBorder="1" applyAlignment="1">
      <alignment horizontal="center" vertical="center" wrapText="1"/>
    </xf>
    <xf numFmtId="166" fontId="32" fillId="22" borderId="50" xfId="0" applyNumberFormat="1" applyFont="1" applyFill="1" applyBorder="1" applyAlignment="1">
      <alignment horizontal="center" vertical="center" wrapText="1"/>
    </xf>
    <xf numFmtId="1" fontId="14" fillId="22" borderId="53" xfId="0" applyNumberFormat="1" applyFont="1" applyFill="1" applyBorder="1" applyAlignment="1">
      <alignment horizontal="center" vertical="center"/>
    </xf>
    <xf numFmtId="0" fontId="2" fillId="0" borderId="0" xfId="0" applyFont="1"/>
    <xf numFmtId="0" fontId="20" fillId="21" borderId="63" xfId="0" applyFont="1" applyFill="1" applyBorder="1" applyAlignment="1">
      <alignment horizontal="center" vertical="center" wrapText="1"/>
    </xf>
    <xf numFmtId="0" fontId="20" fillId="21" borderId="12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1" applyNumberFormat="1" applyFont="1" applyFill="1" applyAlignment="1">
      <alignment horizontal="left"/>
    </xf>
    <xf numFmtId="10" fontId="16" fillId="0" borderId="0" xfId="1" applyNumberFormat="1" applyFont="1" applyFill="1"/>
    <xf numFmtId="0" fontId="29" fillId="0" borderId="0" xfId="0" applyFont="1" applyAlignment="1">
      <alignment horizontal="center" vertical="center"/>
    </xf>
    <xf numFmtId="0" fontId="28" fillId="0" borderId="0" xfId="0" applyFont="1"/>
    <xf numFmtId="0" fontId="20" fillId="22" borderId="50" xfId="0" applyFont="1" applyFill="1" applyBorder="1" applyAlignment="1">
      <alignment horizontal="center" vertical="center" wrapText="1"/>
    </xf>
    <xf numFmtId="1" fontId="0" fillId="0" borderId="14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8" fillId="18" borderId="43" xfId="0" applyFont="1" applyFill="1" applyBorder="1" applyAlignment="1">
      <alignment horizontal="center" vertical="center" wrapText="1"/>
    </xf>
    <xf numFmtId="0" fontId="18" fillId="18" borderId="44" xfId="0" applyFont="1" applyFill="1" applyBorder="1" applyAlignment="1">
      <alignment horizontal="center" vertical="center" wrapText="1"/>
    </xf>
    <xf numFmtId="0" fontId="18" fillId="18" borderId="26" xfId="0" applyFont="1" applyFill="1" applyBorder="1" applyAlignment="1">
      <alignment horizontal="center" vertical="center" wrapText="1"/>
    </xf>
    <xf numFmtId="0" fontId="18" fillId="9" borderId="69" xfId="0" applyFont="1" applyFill="1" applyBorder="1" applyAlignment="1">
      <alignment horizontal="center" vertical="center" wrapText="1"/>
    </xf>
    <xf numFmtId="0" fontId="18" fillId="9" borderId="44" xfId="0" applyFont="1" applyFill="1" applyBorder="1" applyAlignment="1">
      <alignment horizontal="center" vertical="center" wrapText="1"/>
    </xf>
    <xf numFmtId="0" fontId="18" fillId="22" borderId="69" xfId="0" applyFont="1" applyFill="1" applyBorder="1" applyAlignment="1">
      <alignment horizontal="center" vertical="center" wrapText="1"/>
    </xf>
    <xf numFmtId="0" fontId="18" fillId="22" borderId="44" xfId="0" applyFont="1" applyFill="1" applyBorder="1" applyAlignment="1">
      <alignment horizontal="center" vertical="center" wrapText="1"/>
    </xf>
    <xf numFmtId="0" fontId="18" fillId="22" borderId="70" xfId="0" applyFont="1" applyFill="1" applyBorder="1" applyAlignment="1">
      <alignment horizontal="center" vertical="center" wrapText="1"/>
    </xf>
    <xf numFmtId="0" fontId="31" fillId="8" borderId="0" xfId="0" applyFont="1" applyFill="1" applyAlignment="1">
      <alignment horizontal="center" vertical="center"/>
    </xf>
    <xf numFmtId="0" fontId="18" fillId="4" borderId="44" xfId="0" applyFont="1" applyFill="1" applyBorder="1" applyAlignment="1">
      <alignment horizontal="center" vertical="center" wrapText="1"/>
    </xf>
    <xf numFmtId="0" fontId="21" fillId="30" borderId="44" xfId="0" applyFont="1" applyFill="1" applyBorder="1" applyAlignment="1">
      <alignment horizontal="center" vertical="center" wrapText="1"/>
    </xf>
    <xf numFmtId="0" fontId="18" fillId="20" borderId="21" xfId="0" applyFont="1" applyFill="1" applyBorder="1" applyAlignment="1">
      <alignment horizontal="center" vertical="center" wrapText="1"/>
    </xf>
    <xf numFmtId="0" fontId="18" fillId="20" borderId="10" xfId="0" applyFont="1" applyFill="1" applyBorder="1" applyAlignment="1">
      <alignment horizontal="center" vertical="center" wrapText="1"/>
    </xf>
    <xf numFmtId="0" fontId="18" fillId="20" borderId="42" xfId="0" applyFont="1" applyFill="1" applyBorder="1" applyAlignment="1">
      <alignment horizontal="center" vertical="center" wrapText="1"/>
    </xf>
    <xf numFmtId="0" fontId="30" fillId="41" borderId="0" xfId="0" applyFont="1" applyFill="1" applyAlignment="1">
      <alignment horizontal="center" vertical="center"/>
    </xf>
    <xf numFmtId="0" fontId="30" fillId="31" borderId="0" xfId="0" applyFont="1" applyFill="1" applyAlignment="1">
      <alignment horizontal="center" vertical="center"/>
    </xf>
    <xf numFmtId="0" fontId="6" fillId="49" borderId="4" xfId="0" applyFont="1" applyFill="1" applyBorder="1" applyAlignment="1">
      <alignment horizontal="center" vertical="center"/>
    </xf>
    <xf numFmtId="0" fontId="6" fillId="49" borderId="0" xfId="0" applyFont="1" applyFill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166" fontId="6" fillId="0" borderId="22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166" fontId="12" fillId="4" borderId="2" xfId="0" applyNumberFormat="1" applyFont="1" applyFill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wrapText="1"/>
    </xf>
    <xf numFmtId="0" fontId="22" fillId="15" borderId="50" xfId="0" applyFont="1" applyFill="1" applyBorder="1" applyAlignment="1">
      <alignment horizontal="center" vertical="center" wrapText="1"/>
    </xf>
    <xf numFmtId="0" fontId="22" fillId="15" borderId="46" xfId="0" applyFont="1" applyFill="1" applyBorder="1" applyAlignment="1">
      <alignment horizontal="center" vertical="center" wrapText="1"/>
    </xf>
    <xf numFmtId="0" fontId="22" fillId="16" borderId="47" xfId="0" applyFont="1" applyFill="1" applyBorder="1" applyAlignment="1">
      <alignment horizontal="center" vertical="center" wrapText="1"/>
    </xf>
    <xf numFmtId="0" fontId="22" fillId="16" borderId="48" xfId="0" applyFont="1" applyFill="1" applyBorder="1" applyAlignment="1">
      <alignment horizontal="center" vertical="center" wrapText="1"/>
    </xf>
    <xf numFmtId="0" fontId="20" fillId="21" borderId="8" xfId="0" applyFont="1" applyFill="1" applyBorder="1" applyAlignment="1">
      <alignment horizontal="center" vertical="center" wrapText="1"/>
    </xf>
    <xf numFmtId="0" fontId="20" fillId="21" borderId="23" xfId="0" applyFont="1" applyFill="1" applyBorder="1" applyAlignment="1">
      <alignment horizontal="center" vertical="center" wrapText="1"/>
    </xf>
    <xf numFmtId="0" fontId="20" fillId="21" borderId="11" xfId="0" applyFont="1" applyFill="1" applyBorder="1" applyAlignment="1">
      <alignment horizontal="center" vertical="center" wrapText="1"/>
    </xf>
    <xf numFmtId="0" fontId="20" fillId="21" borderId="63" xfId="0" applyFont="1" applyFill="1" applyBorder="1" applyAlignment="1">
      <alignment horizontal="center" vertical="center" wrapText="1"/>
    </xf>
    <xf numFmtId="0" fontId="19" fillId="21" borderId="51" xfId="0" applyFont="1" applyFill="1" applyBorder="1" applyAlignment="1">
      <alignment horizontal="center" vertical="center" wrapText="1"/>
    </xf>
    <xf numFmtId="0" fontId="19" fillId="21" borderId="52" xfId="0" applyFont="1" applyFill="1" applyBorder="1" applyAlignment="1">
      <alignment horizontal="center" vertical="center" wrapText="1"/>
    </xf>
    <xf numFmtId="0" fontId="19" fillId="23" borderId="54" xfId="0" applyFont="1" applyFill="1" applyBorder="1" applyAlignment="1">
      <alignment horizontal="center" vertical="center" wrapText="1"/>
    </xf>
    <xf numFmtId="0" fontId="19" fillId="23" borderId="52" xfId="0" applyFont="1" applyFill="1" applyBorder="1" applyAlignment="1">
      <alignment horizontal="center" vertical="center" wrapText="1"/>
    </xf>
    <xf numFmtId="0" fontId="19" fillId="17" borderId="54" xfId="0" applyFont="1" applyFill="1" applyBorder="1" applyAlignment="1">
      <alignment horizontal="center" vertical="center" wrapText="1"/>
    </xf>
    <xf numFmtId="0" fontId="19" fillId="17" borderId="52" xfId="0" applyFont="1" applyFill="1" applyBorder="1" applyAlignment="1">
      <alignment horizontal="center" vertical="center" wrapText="1"/>
    </xf>
    <xf numFmtId="0" fontId="22" fillId="15" borderId="60" xfId="0" applyFont="1" applyFill="1" applyBorder="1" applyAlignment="1">
      <alignment horizontal="center" vertical="center" wrapText="1"/>
    </xf>
    <xf numFmtId="0" fontId="19" fillId="21" borderId="55" xfId="0" applyFont="1" applyFill="1" applyBorder="1" applyAlignment="1">
      <alignment horizontal="center" vertical="center" wrapText="1"/>
    </xf>
    <xf numFmtId="0" fontId="19" fillId="21" borderId="49" xfId="0" applyFont="1" applyFill="1" applyBorder="1" applyAlignment="1">
      <alignment horizontal="center" vertical="center" wrapText="1"/>
    </xf>
    <xf numFmtId="0" fontId="19" fillId="21" borderId="48" xfId="0" applyFont="1" applyFill="1" applyBorder="1" applyAlignment="1">
      <alignment horizontal="center" vertical="center" wrapText="1"/>
    </xf>
    <xf numFmtId="0" fontId="19" fillId="23" borderId="47" xfId="0" applyFont="1" applyFill="1" applyBorder="1" applyAlignment="1">
      <alignment horizontal="center" vertical="center" wrapText="1"/>
    </xf>
    <xf numFmtId="0" fontId="19" fillId="23" borderId="49" xfId="0" applyFont="1" applyFill="1" applyBorder="1" applyAlignment="1">
      <alignment horizontal="center" vertical="center" wrapText="1"/>
    </xf>
    <xf numFmtId="0" fontId="19" fillId="23" borderId="48" xfId="0" applyFont="1" applyFill="1" applyBorder="1" applyAlignment="1">
      <alignment horizontal="center" vertical="center" wrapText="1"/>
    </xf>
    <xf numFmtId="0" fontId="19" fillId="17" borderId="47" xfId="0" applyFont="1" applyFill="1" applyBorder="1" applyAlignment="1">
      <alignment horizontal="center" vertical="center" wrapText="1"/>
    </xf>
    <xf numFmtId="0" fontId="19" fillId="17" borderId="49" xfId="0" applyFont="1" applyFill="1" applyBorder="1" applyAlignment="1">
      <alignment horizontal="center" vertical="center" wrapText="1"/>
    </xf>
    <xf numFmtId="0" fontId="19" fillId="24" borderId="55" xfId="0" applyFont="1" applyFill="1" applyBorder="1" applyAlignment="1">
      <alignment horizontal="center" vertical="center" wrapText="1"/>
    </xf>
    <xf numFmtId="0" fontId="19" fillId="24" borderId="49" xfId="0" applyFont="1" applyFill="1" applyBorder="1" applyAlignment="1">
      <alignment horizontal="center" vertical="center" wrapText="1"/>
    </xf>
    <xf numFmtId="0" fontId="19" fillId="24" borderId="56" xfId="0" applyFont="1" applyFill="1" applyBorder="1" applyAlignment="1">
      <alignment horizontal="center" vertical="center" wrapText="1"/>
    </xf>
    <xf numFmtId="0" fontId="20" fillId="26" borderId="67" xfId="0" applyFont="1" applyFill="1" applyBorder="1" applyAlignment="1">
      <alignment horizontal="center" vertical="center" wrapText="1"/>
    </xf>
    <xf numFmtId="0" fontId="20" fillId="26" borderId="68" xfId="0" applyFont="1" applyFill="1" applyBorder="1" applyAlignment="1">
      <alignment horizontal="center" vertical="center" wrapText="1"/>
    </xf>
    <xf numFmtId="0" fontId="20" fillId="22" borderId="50" xfId="0" applyFont="1" applyFill="1" applyBorder="1" applyAlignment="1">
      <alignment horizontal="center" vertical="center" wrapText="1"/>
    </xf>
    <xf numFmtId="0" fontId="20" fillId="22" borderId="46" xfId="0" applyFont="1" applyFill="1" applyBorder="1" applyAlignment="1">
      <alignment horizontal="center" vertical="center" wrapText="1"/>
    </xf>
    <xf numFmtId="0" fontId="20" fillId="22" borderId="71" xfId="0" applyFont="1" applyFill="1" applyBorder="1" applyAlignment="1">
      <alignment horizontal="center" vertical="center" wrapText="1"/>
    </xf>
    <xf numFmtId="0" fontId="20" fillId="22" borderId="72" xfId="0" applyFont="1" applyFill="1" applyBorder="1" applyAlignment="1">
      <alignment horizontal="center" vertical="center" wrapText="1"/>
    </xf>
    <xf numFmtId="167" fontId="40" fillId="0" borderId="22" xfId="0" applyNumberFormat="1" applyFont="1" applyBorder="1" applyAlignment="1">
      <alignment horizontal="center" vertical="center"/>
    </xf>
    <xf numFmtId="0" fontId="40" fillId="0" borderId="22" xfId="0" applyFont="1" applyBorder="1"/>
    <xf numFmtId="0" fontId="40" fillId="0" borderId="22" xfId="0" applyFont="1" applyBorder="1" applyAlignment="1">
      <alignment horizontal="center" vertical="center"/>
    </xf>
    <xf numFmtId="166" fontId="40" fillId="0" borderId="22" xfId="0" applyNumberFormat="1" applyFont="1" applyBorder="1" applyAlignment="1">
      <alignment horizontal="center" vertical="center"/>
    </xf>
    <xf numFmtId="166" fontId="40" fillId="0" borderId="22" xfId="1" applyNumberFormat="1" applyFont="1" applyBorder="1" applyAlignment="1">
      <alignment horizontal="center" vertical="center"/>
    </xf>
    <xf numFmtId="0" fontId="41" fillId="0" borderId="22" xfId="0" applyFont="1" applyBorder="1"/>
    <xf numFmtId="0" fontId="40" fillId="54" borderId="22" xfId="0" applyFont="1" applyFill="1" applyBorder="1"/>
    <xf numFmtId="0" fontId="39" fillId="54" borderId="22" xfId="0" applyFont="1" applyFill="1" applyBorder="1" applyAlignment="1">
      <alignment horizontal="center" vertical="center"/>
    </xf>
    <xf numFmtId="166" fontId="39" fillId="54" borderId="22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166" fontId="30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/>
    <xf numFmtId="166" fontId="40" fillId="0" borderId="0" xfId="0" applyNumberFormat="1" applyFont="1"/>
    <xf numFmtId="0" fontId="40" fillId="0" borderId="0" xfId="0" applyFont="1" applyAlignment="1">
      <alignment horizontal="center" vertical="center"/>
    </xf>
    <xf numFmtId="0" fontId="40" fillId="0" borderId="0" xfId="0" applyFont="1"/>
    <xf numFmtId="10" fontId="30" fillId="0" borderId="0" xfId="0" applyNumberFormat="1" applyFont="1" applyAlignment="1">
      <alignment horizontal="left"/>
    </xf>
    <xf numFmtId="166" fontId="30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/>
    </xf>
    <xf numFmtId="166" fontId="40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left"/>
    </xf>
    <xf numFmtId="166" fontId="30" fillId="0" borderId="0" xfId="0" applyNumberFormat="1" applyFont="1" applyAlignment="1">
      <alignment horizontal="left"/>
    </xf>
    <xf numFmtId="166" fontId="39" fillId="0" borderId="0" xfId="0" applyNumberFormat="1" applyFont="1" applyAlignment="1">
      <alignment horizontal="center" vertical="center"/>
    </xf>
    <xf numFmtId="166" fontId="30" fillId="0" borderId="0" xfId="0" quotePrefix="1" applyNumberFormat="1" applyFont="1" applyAlignment="1">
      <alignment horizontal="center" vertical="center"/>
    </xf>
    <xf numFmtId="166" fontId="39" fillId="0" borderId="0" xfId="0" applyNumberFormat="1" applyFont="1"/>
    <xf numFmtId="0" fontId="40" fillId="0" borderId="0" xfId="0" applyFont="1" applyAlignment="1">
      <alignment vertical="center"/>
    </xf>
    <xf numFmtId="0" fontId="40" fillId="3" borderId="0" xfId="0" applyFont="1" applyFill="1"/>
    <xf numFmtId="0" fontId="40" fillId="3" borderId="0" xfId="0" applyFont="1" applyFill="1" applyAlignment="1">
      <alignment vertical="center"/>
    </xf>
    <xf numFmtId="0" fontId="30" fillId="28" borderId="0" xfId="0" applyFont="1" applyFill="1" applyAlignment="1">
      <alignment horizontal="center" vertical="center" wrapText="1"/>
    </xf>
    <xf numFmtId="0" fontId="30" fillId="28" borderId="20" xfId="0" applyFont="1" applyFill="1" applyBorder="1" applyAlignment="1">
      <alignment horizontal="center" vertical="center" wrapText="1"/>
    </xf>
    <xf numFmtId="0" fontId="39" fillId="36" borderId="20" xfId="0" applyFont="1" applyFill="1" applyBorder="1" applyAlignment="1">
      <alignment horizontal="center" vertical="center" wrapText="1"/>
    </xf>
    <xf numFmtId="0" fontId="39" fillId="37" borderId="20" xfId="0" applyFont="1" applyFill="1" applyBorder="1" applyAlignment="1">
      <alignment horizontal="center" vertical="center" wrapText="1"/>
    </xf>
    <xf numFmtId="0" fontId="30" fillId="38" borderId="20" xfId="0" applyFont="1" applyFill="1" applyBorder="1" applyAlignment="1">
      <alignment horizontal="center" vertical="center" wrapText="1"/>
    </xf>
    <xf numFmtId="167" fontId="40" fillId="6" borderId="2" xfId="0" applyNumberFormat="1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164" fontId="40" fillId="46" borderId="2" xfId="0" applyNumberFormat="1" applyFont="1" applyFill="1" applyBorder="1" applyAlignment="1">
      <alignment horizontal="center" vertical="center"/>
    </xf>
    <xf numFmtId="166" fontId="40" fillId="46" borderId="2" xfId="0" applyNumberFormat="1" applyFont="1" applyFill="1" applyBorder="1" applyAlignment="1">
      <alignment horizontal="center" vertical="center"/>
    </xf>
    <xf numFmtId="0" fontId="40" fillId="14" borderId="2" xfId="0" applyFont="1" applyFill="1" applyBorder="1" applyAlignment="1">
      <alignment horizontal="center" vertical="center"/>
    </xf>
    <xf numFmtId="166" fontId="40" fillId="6" borderId="2" xfId="0" applyNumberFormat="1" applyFont="1" applyFill="1" applyBorder="1" applyAlignment="1">
      <alignment horizontal="center" vertical="center"/>
    </xf>
    <xf numFmtId="166" fontId="40" fillId="0" borderId="2" xfId="0" applyNumberFormat="1" applyFont="1" applyBorder="1" applyAlignment="1">
      <alignment horizontal="center" vertical="center"/>
    </xf>
    <xf numFmtId="166" fontId="41" fillId="0" borderId="2" xfId="0" applyNumberFormat="1" applyFont="1" applyBorder="1" applyAlignment="1">
      <alignment horizontal="center" vertical="center"/>
    </xf>
    <xf numFmtId="167" fontId="40" fillId="7" borderId="2" xfId="0" applyNumberFormat="1" applyFont="1" applyFill="1" applyBorder="1" applyAlignment="1">
      <alignment vertical="center"/>
    </xf>
    <xf numFmtId="0" fontId="40" fillId="7" borderId="2" xfId="0" applyFont="1" applyFill="1" applyBorder="1" applyAlignment="1">
      <alignment vertical="center"/>
    </xf>
    <xf numFmtId="164" fontId="40" fillId="14" borderId="2" xfId="0" applyNumberFormat="1" applyFont="1" applyFill="1" applyBorder="1" applyAlignment="1">
      <alignment horizontal="center" vertical="center"/>
    </xf>
    <xf numFmtId="166" fontId="40" fillId="7" borderId="2" xfId="0" applyNumberFormat="1" applyFont="1" applyFill="1" applyBorder="1" applyAlignment="1">
      <alignment horizontal="center" vertical="center"/>
    </xf>
    <xf numFmtId="166" fontId="40" fillId="14" borderId="2" xfId="0" applyNumberFormat="1" applyFont="1" applyFill="1" applyBorder="1" applyAlignment="1">
      <alignment horizontal="center" vertical="center"/>
    </xf>
    <xf numFmtId="167" fontId="41" fillId="7" borderId="2" xfId="0" applyNumberFormat="1" applyFont="1" applyFill="1" applyBorder="1" applyAlignment="1">
      <alignment vertical="center"/>
    </xf>
    <xf numFmtId="0" fontId="41" fillId="7" borderId="2" xfId="0" applyFont="1" applyFill="1" applyBorder="1" applyAlignment="1">
      <alignment vertical="center"/>
    </xf>
    <xf numFmtId="164" fontId="41" fillId="14" borderId="2" xfId="0" applyNumberFormat="1" applyFont="1" applyFill="1" applyBorder="1" applyAlignment="1">
      <alignment horizontal="center" vertical="center"/>
    </xf>
    <xf numFmtId="166" fontId="41" fillId="14" borderId="2" xfId="1" applyNumberFormat="1" applyFont="1" applyFill="1" applyBorder="1" applyAlignment="1">
      <alignment horizontal="center" vertical="center"/>
    </xf>
    <xf numFmtId="167" fontId="41" fillId="6" borderId="2" xfId="0" applyNumberFormat="1" applyFont="1" applyFill="1" applyBorder="1" applyAlignment="1">
      <alignment vertical="center"/>
    </xf>
    <xf numFmtId="0" fontId="41" fillId="6" borderId="2" xfId="0" applyFont="1" applyFill="1" applyBorder="1" applyAlignment="1">
      <alignment vertical="center"/>
    </xf>
    <xf numFmtId="164" fontId="41" fillId="46" borderId="2" xfId="0" applyNumberFormat="1" applyFont="1" applyFill="1" applyBorder="1" applyAlignment="1">
      <alignment horizontal="center" vertical="center"/>
    </xf>
    <xf numFmtId="166" fontId="41" fillId="46" borderId="2" xfId="1" applyNumberFormat="1" applyFont="1" applyFill="1" applyBorder="1" applyAlignment="1">
      <alignment horizontal="center" vertical="center"/>
    </xf>
    <xf numFmtId="164" fontId="41" fillId="47" borderId="2" xfId="0" applyNumberFormat="1" applyFont="1" applyFill="1" applyBorder="1" applyAlignment="1">
      <alignment horizontal="center" vertical="center"/>
    </xf>
    <xf numFmtId="166" fontId="40" fillId="48" borderId="2" xfId="0" applyNumberFormat="1" applyFont="1" applyFill="1" applyBorder="1" applyAlignment="1">
      <alignment horizontal="center" vertical="center"/>
    </xf>
    <xf numFmtId="0" fontId="40" fillId="47" borderId="2" xfId="0" applyFont="1" applyFill="1" applyBorder="1" applyAlignment="1">
      <alignment horizontal="center" vertical="center"/>
    </xf>
    <xf numFmtId="166" fontId="40" fillId="47" borderId="2" xfId="0" applyNumberFormat="1" applyFont="1" applyFill="1" applyBorder="1" applyAlignment="1">
      <alignment horizontal="center" vertical="center"/>
    </xf>
    <xf numFmtId="166" fontId="41" fillId="47" borderId="2" xfId="1" applyNumberFormat="1" applyFont="1" applyFill="1" applyBorder="1" applyAlignment="1">
      <alignment horizontal="center" vertical="center"/>
    </xf>
    <xf numFmtId="0" fontId="40" fillId="48" borderId="2" xfId="0" applyFont="1" applyFill="1" applyBorder="1" applyAlignment="1">
      <alignment horizontal="center" vertical="center"/>
    </xf>
    <xf numFmtId="164" fontId="41" fillId="48" borderId="2" xfId="0" applyNumberFormat="1" applyFont="1" applyFill="1" applyBorder="1" applyAlignment="1">
      <alignment horizontal="center" vertical="center"/>
    </xf>
    <xf numFmtId="166" fontId="41" fillId="48" borderId="2" xfId="1" applyNumberFormat="1" applyFont="1" applyFill="1" applyBorder="1" applyAlignment="1">
      <alignment horizontal="center" vertical="center"/>
    </xf>
    <xf numFmtId="0" fontId="40" fillId="30" borderId="2" xfId="0" applyFont="1" applyFill="1" applyBorder="1" applyAlignment="1">
      <alignment vertical="center"/>
    </xf>
    <xf numFmtId="166" fontId="40" fillId="3" borderId="2" xfId="0" applyNumberFormat="1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vertical="center"/>
    </xf>
    <xf numFmtId="0" fontId="40" fillId="3" borderId="2" xfId="0" applyFont="1" applyFill="1" applyBorder="1" applyAlignment="1">
      <alignment horizontal="center" vertical="center"/>
    </xf>
    <xf numFmtId="0" fontId="35" fillId="12" borderId="5" xfId="0" applyFont="1" applyFill="1" applyBorder="1" applyAlignment="1">
      <alignment horizontal="center" vertical="center" wrapText="1"/>
    </xf>
    <xf numFmtId="165" fontId="35" fillId="12" borderId="3" xfId="3" applyNumberFormat="1" applyFont="1" applyFill="1" applyBorder="1" applyAlignment="1">
      <alignment horizontal="center" vertical="center" wrapText="1"/>
    </xf>
    <xf numFmtId="1" fontId="35" fillId="32" borderId="3" xfId="0" applyNumberFormat="1" applyFont="1" applyFill="1" applyBorder="1" applyAlignment="1">
      <alignment horizontal="center" vertical="center" wrapText="1"/>
    </xf>
    <xf numFmtId="0" fontId="35" fillId="41" borderId="3" xfId="0" applyFont="1" applyFill="1" applyBorder="1" applyAlignment="1">
      <alignment horizontal="center" vertical="center" wrapText="1"/>
    </xf>
    <xf numFmtId="1" fontId="35" fillId="41" borderId="3" xfId="0" applyNumberFormat="1" applyFont="1" applyFill="1" applyBorder="1" applyAlignment="1">
      <alignment horizontal="center" vertical="center" wrapText="1"/>
    </xf>
    <xf numFmtId="0" fontId="35" fillId="41" borderId="4" xfId="0" applyFont="1" applyFill="1" applyBorder="1" applyAlignment="1">
      <alignment horizontal="center" vertical="center" wrapText="1"/>
    </xf>
    <xf numFmtId="2" fontId="35" fillId="41" borderId="3" xfId="0" applyNumberFormat="1" applyFont="1" applyFill="1" applyBorder="1" applyAlignment="1">
      <alignment horizontal="center" vertical="center" wrapText="1"/>
    </xf>
    <xf numFmtId="2" fontId="35" fillId="42" borderId="3" xfId="0" applyNumberFormat="1" applyFont="1" applyFill="1" applyBorder="1" applyAlignment="1">
      <alignment horizontal="center" vertical="center" wrapText="1"/>
    </xf>
    <xf numFmtId="2" fontId="35" fillId="32" borderId="3" xfId="0" applyNumberFormat="1" applyFont="1" applyFill="1" applyBorder="1" applyAlignment="1">
      <alignment horizontal="center" vertical="center" wrapText="1"/>
    </xf>
    <xf numFmtId="1" fontId="35" fillId="31" borderId="3" xfId="0" applyNumberFormat="1" applyFont="1" applyFill="1" applyBorder="1" applyAlignment="1">
      <alignment horizontal="center" vertical="center" wrapText="1"/>
    </xf>
    <xf numFmtId="0" fontId="35" fillId="31" borderId="4" xfId="0" applyFont="1" applyFill="1" applyBorder="1" applyAlignment="1">
      <alignment horizontal="center" vertical="center" wrapText="1"/>
    </xf>
    <xf numFmtId="2" fontId="35" fillId="31" borderId="3" xfId="0" applyNumberFormat="1" applyFont="1" applyFill="1" applyBorder="1" applyAlignment="1">
      <alignment horizontal="center" vertical="center" wrapText="1"/>
    </xf>
    <xf numFmtId="2" fontId="35" fillId="12" borderId="3" xfId="0" applyNumberFormat="1" applyFont="1" applyFill="1" applyBorder="1" applyAlignment="1">
      <alignment horizontal="center" vertical="center" wrapText="1"/>
    </xf>
    <xf numFmtId="2" fontId="35" fillId="34" borderId="3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39" fillId="30" borderId="0" xfId="0" applyFont="1" applyFill="1" applyAlignment="1">
      <alignment horizontal="center" vertical="center"/>
    </xf>
    <xf numFmtId="0" fontId="42" fillId="4" borderId="4" xfId="0" applyFont="1" applyFill="1" applyBorder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43" fillId="0" borderId="0" xfId="0" applyFont="1"/>
    <xf numFmtId="0" fontId="44" fillId="27" borderId="0" xfId="0" applyFont="1" applyFill="1" applyAlignment="1">
      <alignment horizontal="center" wrapText="1"/>
    </xf>
    <xf numFmtId="0" fontId="44" fillId="22" borderId="0" xfId="0" applyFont="1" applyFill="1" applyAlignment="1">
      <alignment horizontal="center" wrapText="1"/>
    </xf>
    <xf numFmtId="0" fontId="44" fillId="9" borderId="0" xfId="0" applyFont="1" applyFill="1" applyAlignment="1">
      <alignment horizontal="center" wrapText="1"/>
    </xf>
    <xf numFmtId="0" fontId="44" fillId="18" borderId="0" xfId="0" applyFont="1" applyFill="1" applyAlignment="1">
      <alignment horizontal="center" wrapText="1"/>
    </xf>
    <xf numFmtId="0" fontId="44" fillId="8" borderId="0" xfId="0" applyFont="1" applyFill="1" applyAlignment="1">
      <alignment horizontal="center" wrapText="1"/>
    </xf>
    <xf numFmtId="0" fontId="45" fillId="0" borderId="2" xfId="0" applyFont="1" applyBorder="1" applyAlignment="1">
      <alignment horizontal="right" vertical="center"/>
    </xf>
    <xf numFmtId="0" fontId="45" fillId="0" borderId="2" xfId="0" applyFont="1" applyBorder="1" applyAlignment="1">
      <alignment horizontal="left" vertical="center"/>
    </xf>
    <xf numFmtId="0" fontId="43" fillId="0" borderId="0" xfId="1" applyNumberFormat="1" applyFont="1" applyFill="1" applyAlignment="1">
      <alignment horizontal="left"/>
    </xf>
    <xf numFmtId="0" fontId="43" fillId="0" borderId="0" xfId="0" applyFont="1" applyAlignment="1">
      <alignment horizontal="center" vertical="center"/>
    </xf>
    <xf numFmtId="10" fontId="43" fillId="0" borderId="0" xfId="1" applyNumberFormat="1" applyFont="1" applyFill="1"/>
    <xf numFmtId="10" fontId="43" fillId="0" borderId="0" xfId="0" applyNumberFormat="1" applyFont="1"/>
    <xf numFmtId="0" fontId="45" fillId="16" borderId="2" xfId="0" applyFont="1" applyFill="1" applyBorder="1" applyAlignment="1">
      <alignment horizontal="right" vertical="center"/>
    </xf>
    <xf numFmtId="10" fontId="40" fillId="3" borderId="2" xfId="0" applyNumberFormat="1" applyFont="1" applyFill="1" applyBorder="1" applyAlignment="1">
      <alignment horizontal="center" vertical="center"/>
    </xf>
    <xf numFmtId="166" fontId="45" fillId="3" borderId="2" xfId="0" applyNumberFormat="1" applyFont="1" applyFill="1" applyBorder="1" applyAlignment="1">
      <alignment horizontal="center" vertical="center"/>
    </xf>
    <xf numFmtId="0" fontId="45" fillId="3" borderId="2" xfId="0" applyFont="1" applyFill="1" applyBorder="1" applyAlignment="1">
      <alignment horizontal="center" vertical="center"/>
    </xf>
    <xf numFmtId="166" fontId="45" fillId="4" borderId="2" xfId="0" applyNumberFormat="1" applyFont="1" applyFill="1" applyBorder="1" applyAlignment="1">
      <alignment horizontal="center" vertical="center"/>
    </xf>
    <xf numFmtId="166" fontId="45" fillId="0" borderId="2" xfId="0" applyNumberFormat="1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166" fontId="43" fillId="0" borderId="2" xfId="0" applyNumberFormat="1" applyFont="1" applyBorder="1" applyAlignment="1">
      <alignment horizontal="center" vertical="center"/>
    </xf>
    <xf numFmtId="0" fontId="43" fillId="0" borderId="2" xfId="0" applyFont="1" applyBorder="1"/>
    <xf numFmtId="1" fontId="44" fillId="0" borderId="2" xfId="0" applyNumberFormat="1" applyFont="1" applyBorder="1" applyAlignment="1">
      <alignment horizontal="center" vertical="center"/>
    </xf>
    <xf numFmtId="166" fontId="44" fillId="0" borderId="2" xfId="0" applyNumberFormat="1" applyFont="1" applyBorder="1" applyAlignment="1">
      <alignment horizontal="center" vertical="center"/>
    </xf>
    <xf numFmtId="0" fontId="50" fillId="0" borderId="0" xfId="0" applyFont="1"/>
    <xf numFmtId="0" fontId="51" fillId="27" borderId="0" xfId="0" applyFont="1" applyFill="1" applyAlignment="1">
      <alignment horizontal="center" vertical="center" wrapText="1"/>
    </xf>
    <xf numFmtId="0" fontId="51" fillId="22" borderId="0" xfId="0" applyFont="1" applyFill="1" applyAlignment="1">
      <alignment horizontal="center" vertical="center" wrapText="1"/>
    </xf>
    <xf numFmtId="0" fontId="51" fillId="9" borderId="0" xfId="0" applyFont="1" applyFill="1" applyAlignment="1">
      <alignment horizontal="center" vertical="center" wrapText="1"/>
    </xf>
    <xf numFmtId="0" fontId="51" fillId="18" borderId="0" xfId="0" applyFont="1" applyFill="1" applyAlignment="1">
      <alignment horizontal="center" vertical="center" wrapText="1"/>
    </xf>
    <xf numFmtId="0" fontId="51" fillId="8" borderId="0" xfId="0" applyFont="1" applyFill="1" applyAlignment="1">
      <alignment horizontal="center" vertical="center"/>
    </xf>
    <xf numFmtId="0" fontId="51" fillId="0" borderId="0" xfId="0" applyFont="1"/>
    <xf numFmtId="0" fontId="51" fillId="0" borderId="0" xfId="0" applyFont="1" applyAlignment="1">
      <alignment horizontal="center" vertical="center" wrapText="1"/>
    </xf>
    <xf numFmtId="0" fontId="52" fillId="0" borderId="2" xfId="0" applyFont="1" applyBorder="1" applyAlignment="1">
      <alignment horizontal="right" vertical="center"/>
    </xf>
    <xf numFmtId="166" fontId="53" fillId="27" borderId="2" xfId="0" applyNumberFormat="1" applyFont="1" applyFill="1" applyBorder="1" applyAlignment="1">
      <alignment horizontal="center" vertical="center"/>
    </xf>
    <xf numFmtId="0" fontId="53" fillId="27" borderId="2" xfId="0" applyFont="1" applyFill="1" applyBorder="1" applyAlignment="1">
      <alignment horizontal="center" vertical="center"/>
    </xf>
    <xf numFmtId="166" fontId="54" fillId="27" borderId="2" xfId="0" applyNumberFormat="1" applyFont="1" applyFill="1" applyBorder="1" applyAlignment="1">
      <alignment horizontal="center" vertical="center"/>
    </xf>
    <xf numFmtId="2" fontId="54" fillId="27" borderId="2" xfId="0" applyNumberFormat="1" applyFont="1" applyFill="1" applyBorder="1" applyAlignment="1">
      <alignment horizontal="center" vertical="center"/>
    </xf>
    <xf numFmtId="168" fontId="53" fillId="22" borderId="2" xfId="3" applyNumberFormat="1" applyFont="1" applyFill="1" applyBorder="1" applyAlignment="1">
      <alignment horizontal="center" vertical="center"/>
    </xf>
    <xf numFmtId="166" fontId="53" fillId="22" borderId="2" xfId="3" applyNumberFormat="1" applyFont="1" applyFill="1" applyBorder="1" applyAlignment="1">
      <alignment horizontal="center" vertical="center"/>
    </xf>
    <xf numFmtId="168" fontId="54" fillId="22" borderId="2" xfId="3" applyNumberFormat="1" applyFont="1" applyFill="1" applyBorder="1" applyAlignment="1">
      <alignment horizontal="center" vertical="center"/>
    </xf>
    <xf numFmtId="2" fontId="54" fillId="22" borderId="2" xfId="3" applyNumberFormat="1" applyFont="1" applyFill="1" applyBorder="1" applyAlignment="1">
      <alignment horizontal="center" vertical="center"/>
    </xf>
    <xf numFmtId="166" fontId="54" fillId="22" borderId="2" xfId="3" applyNumberFormat="1" applyFont="1" applyFill="1" applyBorder="1" applyAlignment="1">
      <alignment horizontal="center" vertical="center"/>
    </xf>
    <xf numFmtId="166" fontId="54" fillId="9" borderId="2" xfId="0" applyNumberFormat="1" applyFont="1" applyFill="1" applyBorder="1" applyAlignment="1">
      <alignment horizontal="center" vertical="center"/>
    </xf>
    <xf numFmtId="0" fontId="54" fillId="9" borderId="2" xfId="0" applyFont="1" applyFill="1" applyBorder="1" applyAlignment="1">
      <alignment horizontal="center" vertical="center"/>
    </xf>
    <xf numFmtId="166" fontId="54" fillId="18" borderId="2" xfId="0" applyNumberFormat="1" applyFont="1" applyFill="1" applyBorder="1" applyAlignment="1">
      <alignment horizontal="center" vertical="center"/>
    </xf>
    <xf numFmtId="1" fontId="54" fillId="8" borderId="2" xfId="0" applyNumberFormat="1" applyFont="1" applyFill="1" applyBorder="1" applyAlignment="1">
      <alignment horizontal="center" vertical="center"/>
    </xf>
    <xf numFmtId="166" fontId="54" fillId="8" borderId="2" xfId="0" applyNumberFormat="1" applyFont="1" applyFill="1" applyBorder="1" applyAlignment="1">
      <alignment horizontal="center" vertical="center"/>
    </xf>
    <xf numFmtId="0" fontId="55" fillId="0" borderId="0" xfId="0" applyFont="1"/>
    <xf numFmtId="0" fontId="55" fillId="0" borderId="0" xfId="1" applyNumberFormat="1" applyFont="1" applyFill="1" applyAlignment="1">
      <alignment horizontal="left"/>
    </xf>
    <xf numFmtId="0" fontId="55" fillId="0" borderId="0" xfId="0" applyFont="1" applyAlignment="1">
      <alignment horizontal="center" vertical="center"/>
    </xf>
    <xf numFmtId="10" fontId="55" fillId="0" borderId="0" xfId="1" applyNumberFormat="1" applyFont="1" applyFill="1"/>
    <xf numFmtId="10" fontId="55" fillId="0" borderId="0" xfId="0" applyNumberFormat="1" applyFont="1"/>
    <xf numFmtId="0" fontId="55" fillId="0" borderId="0" xfId="0" applyFont="1" applyAlignment="1">
      <alignment horizontal="left"/>
    </xf>
    <xf numFmtId="0" fontId="56" fillId="0" borderId="0" xfId="0" applyFont="1"/>
    <xf numFmtId="0" fontId="57" fillId="0" borderId="0" xfId="0" applyFont="1" applyAlignment="1">
      <alignment vertical="center"/>
    </xf>
    <xf numFmtId="0" fontId="57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59" fillId="0" borderId="0" xfId="0" applyFont="1" applyAlignment="1">
      <alignment horizontal="right" vertical="center"/>
    </xf>
    <xf numFmtId="10" fontId="59" fillId="0" borderId="0" xfId="0" applyNumberFormat="1" applyFont="1" applyAlignment="1">
      <alignment horizontal="right" vertical="center"/>
    </xf>
    <xf numFmtId="0" fontId="58" fillId="0" borderId="0" xfId="0" applyFont="1" applyAlignment="1">
      <alignment horizontal="right" vertical="center"/>
    </xf>
    <xf numFmtId="10" fontId="58" fillId="0" borderId="0" xfId="0" applyNumberFormat="1" applyFont="1" applyAlignment="1">
      <alignment horizontal="right" vertical="center"/>
    </xf>
    <xf numFmtId="0" fontId="60" fillId="0" borderId="0" xfId="0" applyFont="1" applyAlignment="1">
      <alignment horizontal="right" vertical="center"/>
    </xf>
    <xf numFmtId="10" fontId="60" fillId="0" borderId="0" xfId="0" applyNumberFormat="1" applyFont="1" applyAlignment="1">
      <alignment horizontal="right" vertical="center"/>
    </xf>
    <xf numFmtId="0" fontId="52" fillId="10" borderId="2" xfId="0" applyFont="1" applyFill="1" applyBorder="1" applyAlignment="1">
      <alignment horizontal="right" vertical="center"/>
    </xf>
    <xf numFmtId="166" fontId="53" fillId="22" borderId="2" xfId="0" applyNumberFormat="1" applyFont="1" applyFill="1" applyBorder="1" applyAlignment="1">
      <alignment horizontal="center" vertical="center"/>
    </xf>
    <xf numFmtId="0" fontId="53" fillId="22" borderId="2" xfId="0" applyFont="1" applyFill="1" applyBorder="1" applyAlignment="1">
      <alignment horizontal="center" vertical="center"/>
    </xf>
    <xf numFmtId="0" fontId="63" fillId="0" borderId="2" xfId="0" applyFont="1" applyBorder="1" applyAlignment="1">
      <alignment horizontal="left" vertical="center"/>
    </xf>
    <xf numFmtId="0" fontId="63" fillId="10" borderId="2" xfId="0" applyFont="1" applyFill="1" applyBorder="1" applyAlignment="1">
      <alignment horizontal="left" vertical="center"/>
    </xf>
    <xf numFmtId="0" fontId="44" fillId="16" borderId="2" xfId="0" applyFont="1" applyFill="1" applyBorder="1" applyAlignment="1">
      <alignment horizontal="left" vertical="center"/>
    </xf>
    <xf numFmtId="0" fontId="44" fillId="0" borderId="2" xfId="0" applyFont="1" applyBorder="1" applyAlignment="1">
      <alignment horizontal="left" vertical="center"/>
    </xf>
    <xf numFmtId="0" fontId="30" fillId="0" borderId="0" xfId="0" applyFont="1"/>
    <xf numFmtId="0" fontId="30" fillId="34" borderId="0" xfId="0" applyFont="1" applyFill="1"/>
    <xf numFmtId="0" fontId="40" fillId="34" borderId="0" xfId="0" applyFont="1" applyFill="1"/>
    <xf numFmtId="0" fontId="30" fillId="34" borderId="0" xfId="0" applyFont="1" applyFill="1" applyAlignment="1">
      <alignment horizontal="center" vertical="center"/>
    </xf>
    <xf numFmtId="0" fontId="30" fillId="35" borderId="0" xfId="0" applyFont="1" applyFill="1" applyAlignment="1">
      <alignment horizontal="center" vertical="center" wrapText="1"/>
    </xf>
    <xf numFmtId="0" fontId="30" fillId="35" borderId="20" xfId="0" applyFont="1" applyFill="1" applyBorder="1" applyAlignment="1">
      <alignment horizontal="center" vertical="center" wrapText="1"/>
    </xf>
    <xf numFmtId="167" fontId="45" fillId="39" borderId="2" xfId="0" applyNumberFormat="1" applyFont="1" applyFill="1" applyBorder="1" applyAlignment="1">
      <alignment vertical="center"/>
    </xf>
    <xf numFmtId="164" fontId="40" fillId="0" borderId="2" xfId="0" applyNumberFormat="1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166" fontId="48" fillId="0" borderId="64" xfId="0" applyNumberFormat="1" applyFont="1" applyBorder="1" applyAlignment="1">
      <alignment horizontal="center" vertical="center"/>
    </xf>
    <xf numFmtId="0" fontId="48" fillId="0" borderId="65" xfId="0" applyFont="1" applyBorder="1" applyAlignment="1">
      <alignment horizontal="center" vertical="center"/>
    </xf>
    <xf numFmtId="167" fontId="45" fillId="40" borderId="2" xfId="0" applyNumberFormat="1" applyFont="1" applyFill="1" applyBorder="1" applyAlignment="1">
      <alignment vertical="center"/>
    </xf>
    <xf numFmtId="0" fontId="48" fillId="0" borderId="66" xfId="0" applyFont="1" applyBorder="1" applyAlignment="1">
      <alignment horizontal="center" vertical="center"/>
    </xf>
    <xf numFmtId="167" fontId="46" fillId="40" borderId="2" xfId="0" applyNumberFormat="1" applyFont="1" applyFill="1" applyBorder="1" applyAlignment="1">
      <alignment vertical="center"/>
    </xf>
    <xf numFmtId="164" fontId="41" fillId="0" borderId="2" xfId="0" applyNumberFormat="1" applyFont="1" applyBorder="1" applyAlignment="1">
      <alignment horizontal="center" vertical="center"/>
    </xf>
    <xf numFmtId="167" fontId="46" fillId="39" borderId="2" xfId="0" applyNumberFormat="1" applyFont="1" applyFill="1" applyBorder="1" applyAlignment="1">
      <alignment vertical="center"/>
    </xf>
    <xf numFmtId="166" fontId="48" fillId="0" borderId="75" xfId="0" applyNumberFormat="1" applyFont="1" applyBorder="1" applyAlignment="1">
      <alignment horizontal="center" vertical="center"/>
    </xf>
    <xf numFmtId="0" fontId="48" fillId="0" borderId="76" xfId="0" applyFont="1" applyBorder="1" applyAlignment="1">
      <alignment horizontal="center" vertical="center"/>
    </xf>
    <xf numFmtId="166" fontId="40" fillId="0" borderId="7" xfId="0" applyNumberFormat="1" applyFont="1" applyBorder="1" applyAlignment="1">
      <alignment horizontal="center" vertical="center"/>
    </xf>
    <xf numFmtId="166" fontId="45" fillId="0" borderId="11" xfId="0" applyNumberFormat="1" applyFont="1" applyBorder="1" applyAlignment="1">
      <alignment horizontal="center" vertical="center"/>
    </xf>
    <xf numFmtId="166" fontId="48" fillId="0" borderId="2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167" fontId="45" fillId="50" borderId="2" xfId="0" applyNumberFormat="1" applyFont="1" applyFill="1" applyBorder="1" applyAlignment="1">
      <alignment vertical="center"/>
    </xf>
    <xf numFmtId="164" fontId="40" fillId="4" borderId="2" xfId="0" applyNumberFormat="1" applyFont="1" applyFill="1" applyBorder="1" applyAlignment="1">
      <alignment horizontal="center" vertical="center"/>
    </xf>
    <xf numFmtId="166" fontId="40" fillId="4" borderId="2" xfId="0" applyNumberFormat="1" applyFont="1" applyFill="1" applyBorder="1" applyAlignment="1">
      <alignment horizontal="center" vertical="center"/>
    </xf>
    <xf numFmtId="0" fontId="40" fillId="51" borderId="2" xfId="0" applyFont="1" applyFill="1" applyBorder="1" applyAlignment="1">
      <alignment horizontal="center" vertical="center"/>
    </xf>
    <xf numFmtId="0" fontId="40" fillId="4" borderId="2" xfId="0" applyFont="1" applyFill="1" applyBorder="1" applyAlignment="1">
      <alignment vertical="center"/>
    </xf>
    <xf numFmtId="0" fontId="40" fillId="4" borderId="13" xfId="0" applyFont="1" applyFill="1" applyBorder="1" applyAlignment="1">
      <alignment vertical="center"/>
    </xf>
    <xf numFmtId="166" fontId="40" fillId="4" borderId="13" xfId="0" applyNumberFormat="1" applyFont="1" applyFill="1" applyBorder="1" applyAlignment="1">
      <alignment horizontal="center" vertical="center"/>
    </xf>
    <xf numFmtId="166" fontId="40" fillId="51" borderId="2" xfId="0" applyNumberFormat="1" applyFont="1" applyFill="1" applyBorder="1" applyAlignment="1">
      <alignment horizontal="center" vertical="center"/>
    </xf>
    <xf numFmtId="0" fontId="40" fillId="4" borderId="2" xfId="0" applyFont="1" applyFill="1" applyBorder="1" applyAlignment="1">
      <alignment horizontal="center" vertical="center"/>
    </xf>
    <xf numFmtId="167" fontId="45" fillId="52" borderId="2" xfId="0" applyNumberFormat="1" applyFont="1" applyFill="1" applyBorder="1" applyAlignment="1">
      <alignment vertical="center"/>
    </xf>
    <xf numFmtId="0" fontId="39" fillId="33" borderId="22" xfId="0" applyFont="1" applyFill="1" applyBorder="1" applyAlignment="1">
      <alignment horizontal="center" vertical="center"/>
    </xf>
    <xf numFmtId="166" fontId="39" fillId="33" borderId="22" xfId="0" applyNumberFormat="1" applyFont="1" applyFill="1" applyBorder="1" applyAlignment="1">
      <alignment horizontal="center" vertical="center"/>
    </xf>
    <xf numFmtId="0" fontId="44" fillId="39" borderId="2" xfId="0" applyFont="1" applyFill="1" applyBorder="1" applyAlignment="1">
      <alignment vertical="center"/>
    </xf>
    <xf numFmtId="0" fontId="44" fillId="40" borderId="2" xfId="0" applyFont="1" applyFill="1" applyBorder="1" applyAlignment="1">
      <alignment vertical="center"/>
    </xf>
    <xf numFmtId="0" fontId="65" fillId="40" borderId="2" xfId="0" applyFont="1" applyFill="1" applyBorder="1" applyAlignment="1">
      <alignment vertical="center"/>
    </xf>
    <xf numFmtId="0" fontId="65" fillId="39" borderId="2" xfId="0" applyFont="1" applyFill="1" applyBorder="1" applyAlignment="1">
      <alignment vertical="center"/>
    </xf>
    <xf numFmtId="0" fontId="44" fillId="50" borderId="2" xfId="0" applyFont="1" applyFill="1" applyBorder="1" applyAlignment="1">
      <alignment vertical="center"/>
    </xf>
    <xf numFmtId="0" fontId="44" fillId="52" borderId="2" xfId="0" applyFont="1" applyFill="1" applyBorder="1" applyAlignment="1">
      <alignment vertical="center"/>
    </xf>
    <xf numFmtId="0" fontId="39" fillId="5" borderId="22" xfId="0" applyFont="1" applyFill="1" applyBorder="1"/>
    <xf numFmtId="0" fontId="64" fillId="13" borderId="0" xfId="0" applyFont="1" applyFill="1" applyAlignment="1">
      <alignment horizontal="center" vertical="center" wrapText="1"/>
    </xf>
    <xf numFmtId="43" fontId="64" fillId="13" borderId="3" xfId="3" applyFont="1" applyFill="1" applyBorder="1" applyAlignment="1">
      <alignment horizontal="center" vertical="center" wrapText="1"/>
    </xf>
    <xf numFmtId="43" fontId="64" fillId="13" borderId="1" xfId="3" applyFont="1" applyFill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/>
    </xf>
    <xf numFmtId="0" fontId="40" fillId="0" borderId="27" xfId="0" applyFont="1" applyBorder="1"/>
    <xf numFmtId="166" fontId="40" fillId="0" borderId="27" xfId="0" applyNumberFormat="1" applyFont="1" applyBorder="1" applyAlignment="1">
      <alignment horizontal="center" vertical="center"/>
    </xf>
    <xf numFmtId="166" fontId="40" fillId="0" borderId="27" xfId="3" applyNumberFormat="1" applyFont="1" applyFill="1" applyBorder="1" applyAlignment="1">
      <alignment horizontal="center" vertical="center"/>
    </xf>
    <xf numFmtId="168" fontId="40" fillId="0" borderId="27" xfId="3" applyNumberFormat="1" applyFont="1" applyFill="1" applyBorder="1" applyAlignment="1">
      <alignment horizontal="center" vertical="center"/>
    </xf>
    <xf numFmtId="2" fontId="40" fillId="0" borderId="27" xfId="3" applyNumberFormat="1" applyFont="1" applyFill="1" applyBorder="1" applyAlignment="1">
      <alignment horizontal="center" vertical="center"/>
    </xf>
    <xf numFmtId="166" fontId="40" fillId="0" borderId="27" xfId="3" applyNumberFormat="1" applyFont="1" applyFill="1" applyBorder="1" applyAlignment="1">
      <alignment horizontal="center"/>
    </xf>
    <xf numFmtId="1" fontId="40" fillId="0" borderId="27" xfId="0" applyNumberFormat="1" applyFont="1" applyBorder="1" applyAlignment="1">
      <alignment horizontal="center" vertical="center"/>
    </xf>
    <xf numFmtId="0" fontId="40" fillId="0" borderId="38" xfId="0" applyFont="1" applyBorder="1" applyAlignment="1">
      <alignment horizontal="center" vertical="center"/>
    </xf>
    <xf numFmtId="0" fontId="40" fillId="0" borderId="38" xfId="0" applyFont="1" applyBorder="1"/>
    <xf numFmtId="166" fontId="40" fillId="0" borderId="38" xfId="0" applyNumberFormat="1" applyFont="1" applyBorder="1" applyAlignment="1">
      <alignment horizontal="center" vertical="center"/>
    </xf>
    <xf numFmtId="166" fontId="40" fillId="0" borderId="38" xfId="3" applyNumberFormat="1" applyFont="1" applyFill="1" applyBorder="1" applyAlignment="1">
      <alignment horizontal="center" vertical="center"/>
    </xf>
    <xf numFmtId="168" fontId="40" fillId="0" borderId="38" xfId="3" applyNumberFormat="1" applyFont="1" applyFill="1" applyBorder="1" applyAlignment="1">
      <alignment horizontal="center" vertical="center"/>
    </xf>
    <xf numFmtId="2" fontId="40" fillId="0" borderId="38" xfId="3" applyNumberFormat="1" applyFont="1" applyFill="1" applyBorder="1" applyAlignment="1">
      <alignment horizontal="center" vertical="center"/>
    </xf>
    <xf numFmtId="166" fontId="40" fillId="0" borderId="38" xfId="3" applyNumberFormat="1" applyFont="1" applyFill="1" applyBorder="1" applyAlignment="1">
      <alignment horizontal="center"/>
    </xf>
    <xf numFmtId="166" fontId="40" fillId="0" borderId="0" xfId="3" applyNumberFormat="1" applyFont="1" applyFill="1" applyBorder="1" applyAlignment="1">
      <alignment horizontal="center" vertical="center"/>
    </xf>
    <xf numFmtId="168" fontId="40" fillId="0" borderId="0" xfId="3" applyNumberFormat="1" applyFont="1" applyFill="1" applyBorder="1" applyAlignment="1">
      <alignment horizontal="center" vertical="center"/>
    </xf>
    <xf numFmtId="2" fontId="40" fillId="0" borderId="0" xfId="3" applyNumberFormat="1" applyFont="1" applyFill="1" applyBorder="1" applyAlignment="1">
      <alignment horizontal="center" vertical="center"/>
    </xf>
    <xf numFmtId="166" fontId="40" fillId="0" borderId="0" xfId="3" applyNumberFormat="1" applyFont="1" applyFill="1" applyBorder="1" applyAlignment="1">
      <alignment horizontal="center"/>
    </xf>
    <xf numFmtId="0" fontId="40" fillId="0" borderId="39" xfId="0" applyFont="1" applyBorder="1" applyAlignment="1">
      <alignment horizontal="center" vertical="center"/>
    </xf>
    <xf numFmtId="0" fontId="40" fillId="0" borderId="39" xfId="0" applyFont="1" applyBorder="1"/>
    <xf numFmtId="166" fontId="40" fillId="0" borderId="39" xfId="0" applyNumberFormat="1" applyFont="1" applyBorder="1" applyAlignment="1">
      <alignment horizontal="center" vertical="center"/>
    </xf>
    <xf numFmtId="166" fontId="40" fillId="0" borderId="39" xfId="3" applyNumberFormat="1" applyFont="1" applyFill="1" applyBorder="1" applyAlignment="1">
      <alignment horizontal="center" vertical="center"/>
    </xf>
    <xf numFmtId="168" fontId="40" fillId="0" borderId="39" xfId="3" applyNumberFormat="1" applyFont="1" applyFill="1" applyBorder="1" applyAlignment="1">
      <alignment horizontal="center" vertical="center"/>
    </xf>
    <xf numFmtId="2" fontId="40" fillId="0" borderId="39" xfId="3" applyNumberFormat="1" applyFont="1" applyFill="1" applyBorder="1" applyAlignment="1">
      <alignment horizontal="center" vertical="center"/>
    </xf>
    <xf numFmtId="166" fontId="40" fillId="0" borderId="39" xfId="3" applyNumberFormat="1" applyFont="1" applyFill="1" applyBorder="1" applyAlignment="1">
      <alignment horizontal="center"/>
    </xf>
    <xf numFmtId="0" fontId="40" fillId="30" borderId="27" xfId="0" applyFont="1" applyFill="1" applyBorder="1"/>
    <xf numFmtId="2" fontId="40" fillId="0" borderId="27" xfId="3" applyNumberFormat="1" applyFont="1" applyFill="1" applyBorder="1" applyAlignment="1">
      <alignment horizontal="center"/>
    </xf>
    <xf numFmtId="166" fontId="40" fillId="30" borderId="27" xfId="0" applyNumberFormat="1" applyFont="1" applyFill="1" applyBorder="1" applyAlignment="1">
      <alignment horizontal="center" vertical="center"/>
    </xf>
    <xf numFmtId="0" fontId="40" fillId="2" borderId="27" xfId="0" applyFont="1" applyFill="1" applyBorder="1" applyAlignment="1">
      <alignment horizontal="center" vertical="center"/>
    </xf>
    <xf numFmtId="0" fontId="40" fillId="2" borderId="27" xfId="0" applyFont="1" applyFill="1" applyBorder="1"/>
    <xf numFmtId="43" fontId="40" fillId="13" borderId="3" xfId="3" applyFont="1" applyFill="1" applyBorder="1" applyAlignment="1">
      <alignment horizontal="center" vertical="center" wrapText="1"/>
    </xf>
    <xf numFmtId="0" fontId="40" fillId="13" borderId="0" xfId="0" applyFont="1" applyFill="1" applyAlignment="1">
      <alignment horizontal="center" vertical="center" wrapText="1"/>
    </xf>
    <xf numFmtId="43" fontId="40" fillId="13" borderId="1" xfId="3" applyFont="1" applyFill="1" applyBorder="1" applyAlignment="1">
      <alignment horizontal="center" vertical="center" wrapText="1"/>
    </xf>
    <xf numFmtId="0" fontId="40" fillId="0" borderId="39" xfId="3" applyNumberFormat="1" applyFont="1" applyFill="1" applyBorder="1" applyAlignment="1">
      <alignment horizontal="center" vertical="center"/>
    </xf>
    <xf numFmtId="0" fontId="40" fillId="0" borderId="39" xfId="3" applyNumberFormat="1" applyFont="1" applyFill="1" applyBorder="1" applyAlignment="1">
      <alignment horizontal="left" vertical="center"/>
    </xf>
    <xf numFmtId="0" fontId="39" fillId="0" borderId="27" xfId="0" applyFont="1" applyBorder="1" applyAlignment="1">
      <alignment horizontal="center" vertical="center"/>
    </xf>
    <xf numFmtId="2" fontId="41" fillId="0" borderId="27" xfId="3" applyNumberFormat="1" applyFont="1" applyFill="1" applyBorder="1" applyAlignment="1">
      <alignment horizontal="center" vertical="center"/>
    </xf>
    <xf numFmtId="0" fontId="40" fillId="0" borderId="27" xfId="3" applyNumberFormat="1" applyFont="1" applyFill="1" applyBorder="1" applyAlignment="1">
      <alignment horizontal="center" vertical="center"/>
    </xf>
    <xf numFmtId="0" fontId="40" fillId="0" borderId="27" xfId="3" applyNumberFormat="1" applyFont="1" applyFill="1" applyBorder="1" applyAlignment="1">
      <alignment horizontal="left" vertical="center"/>
    </xf>
    <xf numFmtId="166" fontId="40" fillId="0" borderId="27" xfId="0" applyNumberFormat="1" applyFont="1" applyBorder="1"/>
    <xf numFmtId="0" fontId="40" fillId="0" borderId="27" xfId="3" applyNumberFormat="1" applyFont="1" applyFill="1" applyBorder="1"/>
    <xf numFmtId="0" fontId="40" fillId="0" borderId="38" xfId="3" applyNumberFormat="1" applyFont="1" applyFill="1" applyBorder="1" applyAlignment="1">
      <alignment horizontal="center" vertical="center"/>
    </xf>
    <xf numFmtId="0" fontId="40" fillId="0" borderId="38" xfId="3" applyNumberFormat="1" applyFont="1" applyFill="1" applyBorder="1" applyAlignment="1">
      <alignment horizontal="left" vertical="center"/>
    </xf>
    <xf numFmtId="0" fontId="0" fillId="13" borderId="0" xfId="0" applyFont="1" applyFill="1"/>
    <xf numFmtId="0" fontId="6" fillId="30" borderId="0" xfId="0" applyFont="1" applyFill="1" applyAlignment="1">
      <alignment horizontal="center" vertical="center"/>
    </xf>
    <xf numFmtId="0" fontId="35" fillId="41" borderId="10" xfId="0" applyFont="1" applyFill="1" applyBorder="1" applyAlignment="1">
      <alignment horizontal="center"/>
    </xf>
    <xf numFmtId="0" fontId="35" fillId="31" borderId="0" xfId="0" applyFont="1" applyFill="1" applyAlignment="1">
      <alignment horizontal="center"/>
    </xf>
    <xf numFmtId="0" fontId="35" fillId="13" borderId="5" xfId="0" applyFont="1" applyFill="1" applyBorder="1" applyAlignment="1">
      <alignment horizontal="center" vertical="center" wrapText="1"/>
    </xf>
    <xf numFmtId="0" fontId="35" fillId="13" borderId="3" xfId="0" applyFont="1" applyFill="1" applyBorder="1" applyAlignment="1">
      <alignment horizontal="center" vertical="center" wrapText="1"/>
    </xf>
    <xf numFmtId="165" fontId="66" fillId="29" borderId="3" xfId="3" applyNumberFormat="1" applyFont="1" applyFill="1" applyBorder="1" applyAlignment="1">
      <alignment horizontal="center" vertical="center" wrapText="1"/>
    </xf>
    <xf numFmtId="2" fontId="66" fillId="29" borderId="3" xfId="0" applyNumberFormat="1" applyFont="1" applyFill="1" applyBorder="1" applyAlignment="1">
      <alignment horizontal="center" vertical="center" wrapText="1"/>
    </xf>
    <xf numFmtId="2" fontId="35" fillId="31" borderId="24" xfId="0" applyNumberFormat="1" applyFont="1" applyFill="1" applyBorder="1" applyAlignment="1">
      <alignment horizontal="center" vertical="center" wrapText="1"/>
    </xf>
    <xf numFmtId="2" fontId="35" fillId="29" borderId="24" xfId="0" applyNumberFormat="1" applyFont="1" applyFill="1" applyBorder="1" applyAlignment="1">
      <alignment horizontal="center" vertical="center" wrapText="1"/>
    </xf>
    <xf numFmtId="0" fontId="67" fillId="0" borderId="2" xfId="0" applyFont="1" applyBorder="1" applyAlignment="1">
      <alignment horizontal="center" vertical="center" wrapText="1"/>
    </xf>
    <xf numFmtId="0" fontId="0" fillId="18" borderId="2" xfId="0" applyFont="1" applyFill="1" applyBorder="1" applyAlignment="1">
      <alignment horizontal="center" vertical="center" wrapText="1"/>
    </xf>
    <xf numFmtId="3" fontId="33" fillId="0" borderId="2" xfId="0" applyNumberFormat="1" applyFont="1" applyBorder="1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 wrapText="1"/>
    </xf>
    <xf numFmtId="166" fontId="33" fillId="3" borderId="2" xfId="0" applyNumberFormat="1" applyFont="1" applyFill="1" applyBorder="1" applyAlignment="1">
      <alignment horizontal="center" vertical="center" wrapText="1"/>
    </xf>
    <xf numFmtId="166" fontId="33" fillId="3" borderId="2" xfId="1" applyNumberFormat="1" applyFont="1" applyFill="1" applyBorder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166" fontId="0" fillId="3" borderId="0" xfId="0" applyNumberFormat="1" applyFont="1" applyFill="1" applyAlignment="1">
      <alignment horizontal="center" vertical="center" wrapText="1"/>
    </xf>
    <xf numFmtId="0" fontId="36" fillId="34" borderId="0" xfId="0" applyFont="1" applyFill="1" applyAlignment="1">
      <alignment horizontal="center" vertical="center" wrapText="1"/>
    </xf>
    <xf numFmtId="0" fontId="33" fillId="18" borderId="2" xfId="3" applyNumberFormat="1" applyFont="1" applyFill="1" applyBorder="1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 wrapText="1" readingOrder="1"/>
    </xf>
    <xf numFmtId="0" fontId="34" fillId="3" borderId="2" xfId="0" applyFont="1" applyFill="1" applyBorder="1" applyAlignment="1">
      <alignment horizontal="center" vertical="center" wrapText="1" readingOrder="1"/>
    </xf>
    <xf numFmtId="0" fontId="67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1" fontId="0" fillId="3" borderId="2" xfId="0" applyNumberFormat="1" applyFont="1" applyFill="1" applyBorder="1" applyAlignment="1">
      <alignment horizontal="center" vertical="center" wrapText="1"/>
    </xf>
    <xf numFmtId="1" fontId="0" fillId="2" borderId="2" xfId="0" applyNumberFormat="1" applyFont="1" applyFill="1" applyBorder="1" applyAlignment="1">
      <alignment horizontal="center" vertical="center" wrapText="1"/>
    </xf>
    <xf numFmtId="2" fontId="35" fillId="13" borderId="24" xfId="0" applyNumberFormat="1" applyFont="1" applyFill="1" applyBorder="1" applyAlignment="1">
      <alignment horizontal="center" vertical="center"/>
    </xf>
    <xf numFmtId="0" fontId="6" fillId="13" borderId="0" xfId="0" applyFont="1" applyFill="1"/>
    <xf numFmtId="0" fontId="68" fillId="0" borderId="2" xfId="0" applyFont="1" applyBorder="1" applyAlignment="1">
      <alignment horizontal="left" vertical="center" wrapText="1"/>
    </xf>
    <xf numFmtId="0" fontId="68" fillId="2" borderId="2" xfId="0" applyFont="1" applyFill="1" applyBorder="1" applyAlignment="1">
      <alignment horizontal="left" vertical="center" wrapText="1"/>
    </xf>
    <xf numFmtId="0" fontId="39" fillId="13" borderId="17" xfId="0" applyFont="1" applyFill="1" applyBorder="1" applyAlignment="1">
      <alignment horizontal="center" vertical="center"/>
    </xf>
    <xf numFmtId="0" fontId="39" fillId="53" borderId="18" xfId="0" applyFont="1" applyFill="1" applyBorder="1" applyAlignment="1">
      <alignment horizontal="center" vertical="center"/>
    </xf>
    <xf numFmtId="0" fontId="39" fillId="53" borderId="18" xfId="0" applyFont="1" applyFill="1" applyBorder="1" applyAlignment="1">
      <alignment horizontal="center" vertical="center" wrapText="1"/>
    </xf>
    <xf numFmtId="0" fontId="30" fillId="29" borderId="19" xfId="0" applyFont="1" applyFill="1" applyBorder="1" applyAlignment="1">
      <alignment horizontal="center" vertical="center" wrapText="1"/>
    </xf>
    <xf numFmtId="0" fontId="30" fillId="29" borderId="18" xfId="0" applyFont="1" applyFill="1" applyBorder="1" applyAlignment="1">
      <alignment horizontal="center" vertical="center" wrapText="1"/>
    </xf>
    <xf numFmtId="0" fontId="69" fillId="55" borderId="73" xfId="0" applyFont="1" applyFill="1" applyBorder="1" applyAlignment="1">
      <alignment horizontal="center" vertical="center"/>
    </xf>
    <xf numFmtId="0" fontId="69" fillId="55" borderId="0" xfId="0" applyFont="1" applyFill="1" applyAlignment="1">
      <alignment horizontal="center" vertical="center"/>
    </xf>
    <xf numFmtId="0" fontId="30" fillId="55" borderId="36" xfId="0" applyFont="1" applyFill="1" applyBorder="1" applyAlignment="1">
      <alignment horizontal="center" vertical="center" wrapText="1"/>
    </xf>
    <xf numFmtId="0" fontId="30" fillId="55" borderId="37" xfId="0" applyFont="1" applyFill="1" applyBorder="1" applyAlignment="1">
      <alignment horizontal="center" vertical="center" wrapText="1"/>
    </xf>
    <xf numFmtId="0" fontId="30" fillId="55" borderId="35" xfId="0" applyFont="1" applyFill="1" applyBorder="1" applyAlignment="1">
      <alignment horizontal="center" vertical="center" wrapText="1"/>
    </xf>
    <xf numFmtId="0" fontId="30" fillId="55" borderId="26" xfId="0" applyFont="1" applyFill="1" applyBorder="1" applyAlignment="1">
      <alignment horizontal="center" vertical="center" wrapText="1"/>
    </xf>
    <xf numFmtId="0" fontId="30" fillId="55" borderId="7" xfId="0" applyFont="1" applyFill="1" applyBorder="1" applyAlignment="1">
      <alignment horizontal="center" vertical="center" wrapText="1"/>
    </xf>
    <xf numFmtId="0" fontId="30" fillId="55" borderId="0" xfId="0" applyFont="1" applyFill="1"/>
    <xf numFmtId="166" fontId="7" fillId="0" borderId="78" xfId="0" applyNumberFormat="1" applyFont="1" applyBorder="1" applyAlignment="1">
      <alignment horizontal="center" vertical="center"/>
    </xf>
    <xf numFmtId="0" fontId="70" fillId="0" borderId="30" xfId="0" applyFont="1" applyBorder="1" applyAlignment="1">
      <alignment horizontal="left" vertical="center"/>
    </xf>
    <xf numFmtId="0" fontId="70" fillId="0" borderId="28" xfId="0" applyFont="1" applyBorder="1" applyAlignment="1">
      <alignment horizontal="left" vertical="center"/>
    </xf>
    <xf numFmtId="0" fontId="12" fillId="0" borderId="28" xfId="0" applyFont="1" applyBorder="1"/>
    <xf numFmtId="2" fontId="70" fillId="0" borderId="28" xfId="5" applyNumberFormat="1" applyFont="1" applyBorder="1" applyAlignment="1">
      <alignment horizontal="left" vertical="center"/>
    </xf>
    <xf numFmtId="0" fontId="70" fillId="0" borderId="28" xfId="0" applyFont="1" applyBorder="1"/>
    <xf numFmtId="0" fontId="37" fillId="0" borderId="28" xfId="0" applyFont="1" applyBorder="1"/>
    <xf numFmtId="49" fontId="70" fillId="0" borderId="28" xfId="0" applyNumberFormat="1" applyFont="1" applyBorder="1" applyAlignment="1">
      <alignment horizontal="left" vertical="center"/>
    </xf>
    <xf numFmtId="0" fontId="12" fillId="0" borderId="34" xfId="0" applyFont="1" applyBorder="1"/>
    <xf numFmtId="0" fontId="30" fillId="55" borderId="0" xfId="0" applyFont="1" applyFill="1" applyAlignment="1">
      <alignment horizontal="center" vertical="center"/>
    </xf>
    <xf numFmtId="0" fontId="71" fillId="3" borderId="3" xfId="0" applyFont="1" applyFill="1" applyBorder="1" applyAlignment="1">
      <alignment horizontal="center" vertical="center"/>
    </xf>
    <xf numFmtId="0" fontId="72" fillId="3" borderId="3" xfId="0" applyFont="1" applyFill="1" applyBorder="1" applyAlignment="1">
      <alignment horizontal="center" vertical="center" wrapText="1"/>
    </xf>
    <xf numFmtId="0" fontId="71" fillId="3" borderId="3" xfId="0" applyFont="1" applyFill="1" applyBorder="1" applyAlignment="1">
      <alignment horizontal="center" vertical="center" wrapText="1"/>
    </xf>
    <xf numFmtId="0" fontId="71" fillId="3" borderId="22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left"/>
    </xf>
    <xf numFmtId="0" fontId="15" fillId="0" borderId="28" xfId="0" applyFont="1" applyBorder="1"/>
    <xf numFmtId="0" fontId="15" fillId="10" borderId="28" xfId="4" applyFont="1" applyFill="1" applyBorder="1" applyAlignment="1">
      <alignment horizontal="left"/>
    </xf>
    <xf numFmtId="0" fontId="2" fillId="0" borderId="28" xfId="0" applyFont="1" applyBorder="1"/>
    <xf numFmtId="0" fontId="19" fillId="25" borderId="50" xfId="0" applyFont="1" applyFill="1" applyBorder="1" applyAlignment="1">
      <alignment horizontal="center" vertical="center" wrapText="1"/>
    </xf>
    <xf numFmtId="0" fontId="19" fillId="25" borderId="46" xfId="0" applyFont="1" applyFill="1" applyBorder="1" applyAlignment="1">
      <alignment horizontal="center" vertical="center" wrapText="1"/>
    </xf>
    <xf numFmtId="0" fontId="19" fillId="21" borderId="24" xfId="0" applyFont="1" applyFill="1" applyBorder="1" applyAlignment="1">
      <alignment horizontal="center" vertical="center" wrapText="1"/>
    </xf>
    <xf numFmtId="0" fontId="62" fillId="56" borderId="61" xfId="0" applyFont="1" applyFill="1" applyBorder="1" applyAlignment="1">
      <alignment horizontal="center" vertical="center" wrapText="1"/>
    </xf>
    <xf numFmtId="0" fontId="62" fillId="56" borderId="74" xfId="0" applyFont="1" applyFill="1" applyBorder="1" applyAlignment="1">
      <alignment horizontal="center" vertical="center" wrapText="1"/>
    </xf>
    <xf numFmtId="0" fontId="62" fillId="56" borderId="49" xfId="0" applyFont="1" applyFill="1" applyBorder="1" applyAlignment="1">
      <alignment horizontal="center" vertical="center" wrapText="1"/>
    </xf>
    <xf numFmtId="0" fontId="44" fillId="25" borderId="50" xfId="0" applyFont="1" applyFill="1" applyBorder="1" applyAlignment="1">
      <alignment horizontal="center" vertical="center" wrapText="1"/>
    </xf>
    <xf numFmtId="0" fontId="44" fillId="25" borderId="46" xfId="0" applyFont="1" applyFill="1" applyBorder="1" applyAlignment="1">
      <alignment horizontal="center" vertical="center" wrapText="1"/>
    </xf>
    <xf numFmtId="0" fontId="44" fillId="21" borderId="53" xfId="0" applyFont="1" applyFill="1" applyBorder="1" applyAlignment="1">
      <alignment horizontal="center" vertical="center" wrapText="1"/>
    </xf>
    <xf numFmtId="0" fontId="44" fillId="21" borderId="57" xfId="0" applyFont="1" applyFill="1" applyBorder="1" applyAlignment="1">
      <alignment horizontal="center" vertical="center" wrapText="1"/>
    </xf>
    <xf numFmtId="0" fontId="49" fillId="56" borderId="49" xfId="0" applyFont="1" applyFill="1" applyBorder="1" applyAlignment="1">
      <alignment horizontal="center" vertical="center" wrapText="1"/>
    </xf>
    <xf numFmtId="0" fontId="49" fillId="56" borderId="47" xfId="0" applyFont="1" applyFill="1" applyBorder="1" applyAlignment="1">
      <alignment horizontal="center" vertical="center" wrapText="1"/>
    </xf>
    <xf numFmtId="0" fontId="19" fillId="23" borderId="57" xfId="0" applyFont="1" applyFill="1" applyBorder="1" applyAlignment="1">
      <alignment horizontal="center" vertical="center" wrapText="1"/>
    </xf>
    <xf numFmtId="0" fontId="19" fillId="17" borderId="57" xfId="0" applyFont="1" applyFill="1" applyBorder="1" applyAlignment="1">
      <alignment horizontal="center" vertical="center" wrapText="1"/>
    </xf>
    <xf numFmtId="0" fontId="73" fillId="16" borderId="21" xfId="0" applyFont="1" applyFill="1" applyBorder="1" applyAlignment="1">
      <alignment horizontal="center" vertical="center" wrapText="1"/>
    </xf>
    <xf numFmtId="0" fontId="73" fillId="16" borderId="58" xfId="0" applyFont="1" applyFill="1" applyBorder="1" applyAlignment="1">
      <alignment horizontal="center" vertical="center" wrapText="1"/>
    </xf>
    <xf numFmtId="0" fontId="44" fillId="15" borderId="21" xfId="0" applyFont="1" applyFill="1" applyBorder="1" applyAlignment="1">
      <alignment horizontal="center" vertical="center"/>
    </xf>
    <xf numFmtId="0" fontId="44" fillId="15" borderId="10" xfId="0" applyFont="1" applyFill="1" applyBorder="1" applyAlignment="1">
      <alignment horizontal="center" vertical="center"/>
    </xf>
    <xf numFmtId="0" fontId="44" fillId="15" borderId="42" xfId="0" applyFont="1" applyFill="1" applyBorder="1" applyAlignment="1">
      <alignment horizontal="center" vertical="center"/>
    </xf>
    <xf numFmtId="0" fontId="44" fillId="16" borderId="59" xfId="0" applyFont="1" applyFill="1" applyBorder="1" applyAlignment="1">
      <alignment horizontal="center" vertical="center" wrapText="1"/>
    </xf>
    <xf numFmtId="0" fontId="44" fillId="16" borderId="10" xfId="0" applyFont="1" applyFill="1" applyBorder="1" applyAlignment="1">
      <alignment horizontal="center" vertical="center" wrapText="1"/>
    </xf>
    <xf numFmtId="0" fontId="44" fillId="16" borderId="10" xfId="0" applyFont="1" applyFill="1" applyBorder="1" applyAlignment="1">
      <alignment horizontal="left" vertical="center" wrapText="1"/>
    </xf>
    <xf numFmtId="0" fontId="44" fillId="16" borderId="59" xfId="0" applyFont="1" applyFill="1" applyBorder="1" applyAlignment="1">
      <alignment horizontal="left" vertical="center" wrapText="1"/>
    </xf>
    <xf numFmtId="0" fontId="44" fillId="16" borderId="58" xfId="0" applyFont="1" applyFill="1" applyBorder="1" applyAlignment="1">
      <alignment horizontal="left" vertical="center" wrapText="1"/>
    </xf>
    <xf numFmtId="0" fontId="19" fillId="25" borderId="60" xfId="0" applyFont="1" applyFill="1" applyBorder="1" applyAlignment="1">
      <alignment horizontal="center" vertical="center" wrapText="1"/>
    </xf>
    <xf numFmtId="0" fontId="19" fillId="26" borderId="2" xfId="0" applyFont="1" applyFill="1" applyBorder="1" applyAlignment="1">
      <alignment horizontal="center" vertical="center" wrapText="1"/>
    </xf>
    <xf numFmtId="0" fontId="19" fillId="21" borderId="2" xfId="0" applyFont="1" applyFill="1" applyBorder="1" applyAlignment="1">
      <alignment horizontal="center" vertical="center" wrapText="1"/>
    </xf>
    <xf numFmtId="0" fontId="19" fillId="23" borderId="2" xfId="0" applyFont="1" applyFill="1" applyBorder="1" applyAlignment="1">
      <alignment horizontal="center" vertical="center" wrapText="1"/>
    </xf>
    <xf numFmtId="0" fontId="19" fillId="17" borderId="2" xfId="0" applyFont="1" applyFill="1" applyBorder="1" applyAlignment="1">
      <alignment horizontal="center" vertical="center" wrapText="1"/>
    </xf>
    <xf numFmtId="0" fontId="40" fillId="22" borderId="0" xfId="0" applyFont="1" applyFill="1"/>
    <xf numFmtId="0" fontId="40" fillId="8" borderId="0" xfId="0" applyFont="1" applyFill="1"/>
    <xf numFmtId="0" fontId="38" fillId="4" borderId="16" xfId="0" applyFont="1" applyFill="1" applyBorder="1" applyAlignment="1">
      <alignment horizontal="center" vertical="center" wrapText="1"/>
    </xf>
    <xf numFmtId="0" fontId="38" fillId="4" borderId="45" xfId="0" applyFont="1" applyFill="1" applyBorder="1" applyAlignment="1">
      <alignment horizontal="center" vertical="center" wrapText="1"/>
    </xf>
    <xf numFmtId="0" fontId="38" fillId="20" borderId="0" xfId="0" applyFont="1" applyFill="1" applyAlignment="1">
      <alignment horizontal="center" vertical="center" wrapText="1"/>
    </xf>
    <xf numFmtId="0" fontId="38" fillId="22" borderId="45" xfId="0" applyFont="1" applyFill="1" applyBorder="1" applyAlignment="1">
      <alignment horizontal="center" vertical="center" wrapText="1"/>
    </xf>
    <xf numFmtId="0" fontId="38" fillId="22" borderId="45" xfId="0" applyFont="1" applyFill="1" applyBorder="1" applyAlignment="1">
      <alignment vertical="center" wrapText="1"/>
    </xf>
    <xf numFmtId="0" fontId="38" fillId="9" borderId="45" xfId="0" applyFont="1" applyFill="1" applyBorder="1" applyAlignment="1">
      <alignment horizontal="center" vertical="center" wrapText="1"/>
    </xf>
    <xf numFmtId="0" fontId="48" fillId="18" borderId="0" xfId="0" applyFont="1" applyFill="1" applyAlignment="1">
      <alignment horizontal="center" vertical="center" wrapText="1"/>
    </xf>
    <xf numFmtId="0" fontId="38" fillId="8" borderId="44" xfId="0" applyFont="1" applyFill="1" applyBorder="1" applyAlignment="1">
      <alignment horizontal="center" vertical="center"/>
    </xf>
    <xf numFmtId="0" fontId="76" fillId="55" borderId="0" xfId="0" applyFont="1" applyFill="1" applyAlignment="1">
      <alignment horizontal="center" vertical="center" wrapText="1"/>
    </xf>
    <xf numFmtId="0" fontId="76" fillId="55" borderId="25" xfId="0" applyFont="1" applyFill="1" applyBorder="1" applyAlignment="1">
      <alignment horizontal="center" vertical="center" wrapText="1"/>
    </xf>
    <xf numFmtId="0" fontId="76" fillId="55" borderId="62" xfId="0" applyFont="1" applyFill="1" applyBorder="1" applyAlignment="1">
      <alignment horizontal="center" vertical="center" wrapText="1"/>
    </xf>
    <xf numFmtId="0" fontId="76" fillId="55" borderId="77" xfId="0" applyFont="1" applyFill="1" applyBorder="1" applyAlignment="1">
      <alignment horizontal="center" vertical="center" wrapText="1"/>
    </xf>
    <xf numFmtId="0" fontId="76" fillId="55" borderId="4" xfId="0" applyFont="1" applyFill="1" applyBorder="1" applyAlignment="1">
      <alignment horizontal="center" vertical="center" wrapText="1"/>
    </xf>
    <xf numFmtId="0" fontId="76" fillId="55" borderId="16" xfId="0" applyFont="1" applyFill="1" applyBorder="1" applyAlignment="1">
      <alignment horizontal="center" vertical="center" wrapText="1"/>
    </xf>
    <xf numFmtId="0" fontId="76" fillId="55" borderId="45" xfId="0" applyFont="1" applyFill="1" applyBorder="1" applyAlignment="1">
      <alignment horizontal="center" vertical="center" wrapText="1"/>
    </xf>
    <xf numFmtId="0" fontId="76" fillId="55" borderId="14" xfId="0" applyFont="1" applyFill="1" applyBorder="1" applyAlignment="1">
      <alignment horizontal="center" vertical="center" wrapText="1"/>
    </xf>
    <xf numFmtId="0" fontId="75" fillId="0" borderId="2" xfId="0" applyFont="1" applyBorder="1" applyAlignment="1">
      <alignment horizontal="center" vertical="center"/>
    </xf>
    <xf numFmtId="166" fontId="40" fillId="43" borderId="13" xfId="0" applyNumberFormat="1" applyFont="1" applyFill="1" applyBorder="1" applyAlignment="1">
      <alignment horizontal="center" vertical="center"/>
    </xf>
    <xf numFmtId="166" fontId="75" fillId="20" borderId="13" xfId="0" applyNumberFormat="1" applyFont="1" applyFill="1" applyBorder="1" applyAlignment="1">
      <alignment horizontal="center" vertical="center"/>
    </xf>
    <xf numFmtId="166" fontId="75" fillId="22" borderId="2" xfId="0" applyNumberFormat="1" applyFont="1" applyFill="1" applyBorder="1" applyAlignment="1">
      <alignment horizontal="center" vertical="center"/>
    </xf>
    <xf numFmtId="166" fontId="75" fillId="9" borderId="2" xfId="0" applyNumberFormat="1" applyFont="1" applyFill="1" applyBorder="1" applyAlignment="1">
      <alignment horizontal="center" vertical="center"/>
    </xf>
    <xf numFmtId="166" fontId="75" fillId="18" borderId="2" xfId="0" applyNumberFormat="1" applyFont="1" applyFill="1" applyBorder="1" applyAlignment="1">
      <alignment horizontal="center" vertical="center"/>
    </xf>
    <xf numFmtId="1" fontId="75" fillId="8" borderId="2" xfId="0" applyNumberFormat="1" applyFont="1" applyFill="1" applyBorder="1" applyAlignment="1">
      <alignment horizontal="center" vertical="center"/>
    </xf>
    <xf numFmtId="166" fontId="75" fillId="8" borderId="2" xfId="0" applyNumberFormat="1" applyFont="1" applyFill="1" applyBorder="1" applyAlignment="1">
      <alignment horizontal="center" vertical="center"/>
    </xf>
    <xf numFmtId="166" fontId="40" fillId="44" borderId="2" xfId="0" applyNumberFormat="1" applyFont="1" applyFill="1" applyBorder="1" applyAlignment="1">
      <alignment horizontal="center" vertical="center"/>
    </xf>
    <xf numFmtId="166" fontId="75" fillId="20" borderId="2" xfId="0" applyNumberFormat="1" applyFont="1" applyFill="1" applyBorder="1" applyAlignment="1">
      <alignment horizontal="center" vertical="center"/>
    </xf>
    <xf numFmtId="166" fontId="40" fillId="43" borderId="2" xfId="0" applyNumberFormat="1" applyFont="1" applyFill="1" applyBorder="1" applyAlignment="1">
      <alignment horizontal="center" vertical="center"/>
    </xf>
    <xf numFmtId="166" fontId="41" fillId="44" borderId="2" xfId="1" applyNumberFormat="1" applyFont="1" applyFill="1" applyBorder="1" applyAlignment="1">
      <alignment horizontal="center" vertical="center"/>
    </xf>
    <xf numFmtId="166" fontId="41" fillId="43" borderId="2" xfId="1" applyNumberFormat="1" applyFont="1" applyFill="1" applyBorder="1" applyAlignment="1">
      <alignment horizontal="center" vertical="center"/>
    </xf>
    <xf numFmtId="164" fontId="41" fillId="20" borderId="2" xfId="0" applyNumberFormat="1" applyFont="1" applyFill="1" applyBorder="1" applyAlignment="1">
      <alignment horizontal="center" vertical="center"/>
    </xf>
    <xf numFmtId="0" fontId="75" fillId="20" borderId="2" xfId="0" applyFont="1" applyFill="1" applyBorder="1"/>
    <xf numFmtId="0" fontId="47" fillId="22" borderId="2" xfId="0" applyFont="1" applyFill="1" applyBorder="1"/>
    <xf numFmtId="166" fontId="75" fillId="19" borderId="2" xfId="0" applyNumberFormat="1" applyFont="1" applyFill="1" applyBorder="1" applyAlignment="1">
      <alignment horizontal="center" vertical="center"/>
    </xf>
    <xf numFmtId="0" fontId="74" fillId="19" borderId="2" xfId="0" applyFont="1" applyFill="1" applyBorder="1"/>
    <xf numFmtId="0" fontId="47" fillId="21" borderId="2" xfId="0" applyFont="1" applyFill="1" applyBorder="1"/>
    <xf numFmtId="166" fontId="75" fillId="23" borderId="2" xfId="0" applyNumberFormat="1" applyFont="1" applyFill="1" applyBorder="1" applyAlignment="1">
      <alignment horizontal="center" vertical="center"/>
    </xf>
    <xf numFmtId="166" fontId="40" fillId="20" borderId="2" xfId="0" applyNumberFormat="1" applyFont="1" applyFill="1" applyBorder="1" applyAlignment="1">
      <alignment horizontal="center" vertical="center"/>
    </xf>
    <xf numFmtId="166" fontId="75" fillId="21" borderId="2" xfId="0" applyNumberFormat="1" applyFont="1" applyFill="1" applyBorder="1" applyAlignment="1">
      <alignment horizontal="center" vertical="center"/>
    </xf>
    <xf numFmtId="0" fontId="75" fillId="3" borderId="2" xfId="0" applyFont="1" applyFill="1" applyBorder="1" applyAlignment="1">
      <alignment horizontal="center" vertical="center"/>
    </xf>
    <xf numFmtId="0" fontId="75" fillId="3" borderId="2" xfId="0" applyFont="1" applyFill="1" applyBorder="1" applyAlignment="1">
      <alignment horizontal="left" vertical="center"/>
    </xf>
    <xf numFmtId="166" fontId="75" fillId="45" borderId="2" xfId="0" applyNumberFormat="1" applyFont="1" applyFill="1" applyBorder="1" applyAlignment="1">
      <alignment horizontal="center" vertical="center"/>
    </xf>
    <xf numFmtId="166" fontId="75" fillId="3" borderId="2" xfId="0" applyNumberFormat="1" applyFont="1" applyFill="1" applyBorder="1" applyAlignment="1">
      <alignment horizontal="center" vertical="center"/>
    </xf>
    <xf numFmtId="1" fontId="75" fillId="3" borderId="2" xfId="0" applyNumberFormat="1" applyFont="1" applyFill="1" applyBorder="1" applyAlignment="1">
      <alignment horizontal="center" vertical="center"/>
    </xf>
    <xf numFmtId="0" fontId="75" fillId="0" borderId="7" xfId="0" applyFont="1" applyBorder="1" applyAlignment="1">
      <alignment horizontal="left" vertical="center"/>
    </xf>
    <xf numFmtId="166" fontId="75" fillId="0" borderId="0" xfId="0" applyNumberFormat="1" applyFont="1" applyAlignment="1">
      <alignment horizontal="center" vertical="center"/>
    </xf>
    <xf numFmtId="166" fontId="74" fillId="0" borderId="0" xfId="0" applyNumberFormat="1" applyFont="1" applyAlignment="1">
      <alignment horizontal="center" vertical="center"/>
    </xf>
    <xf numFmtId="166" fontId="74" fillId="0" borderId="2" xfId="0" applyNumberFormat="1" applyFont="1" applyBorder="1" applyAlignment="1">
      <alignment horizontal="center" vertical="center"/>
    </xf>
    <xf numFmtId="1" fontId="75" fillId="0" borderId="2" xfId="0" applyNumberFormat="1" applyFont="1" applyBorder="1" applyAlignment="1">
      <alignment horizontal="center" vertical="center"/>
    </xf>
    <xf numFmtId="0" fontId="74" fillId="0" borderId="2" xfId="0" applyFont="1" applyBorder="1" applyAlignment="1">
      <alignment vertical="center"/>
    </xf>
    <xf numFmtId="0" fontId="74" fillId="0" borderId="2" xfId="0" applyFont="1" applyBorder="1" applyAlignment="1">
      <alignment horizontal="left" vertical="center"/>
    </xf>
    <xf numFmtId="0" fontId="74" fillId="3" borderId="2" xfId="0" applyFont="1" applyFill="1" applyBorder="1" applyAlignment="1">
      <alignment horizontal="left" vertical="center"/>
    </xf>
    <xf numFmtId="0" fontId="77" fillId="55" borderId="43" xfId="0" applyFont="1" applyFill="1" applyBorder="1" applyAlignment="1">
      <alignment horizontal="center" vertical="center" wrapText="1"/>
    </xf>
    <xf numFmtId="0" fontId="77" fillId="55" borderId="44" xfId="0" applyFont="1" applyFill="1" applyBorder="1" applyAlignment="1">
      <alignment horizontal="center" vertical="center" wrapText="1"/>
    </xf>
    <xf numFmtId="0" fontId="61" fillId="55" borderId="22" xfId="0" applyFont="1" applyFill="1" applyBorder="1" applyAlignment="1">
      <alignment horizontal="center" vertical="center" wrapText="1"/>
    </xf>
    <xf numFmtId="49" fontId="39" fillId="2" borderId="22" xfId="0" applyNumberFormat="1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0" fontId="10" fillId="11" borderId="0" xfId="0" applyFont="1" applyFill="1" applyAlignment="1">
      <alignment horizontal="center" vertical="center" wrapText="1"/>
    </xf>
    <xf numFmtId="0" fontId="10" fillId="11" borderId="25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39" fillId="3" borderId="4" xfId="0" applyFont="1" applyFill="1" applyBorder="1" applyAlignment="1">
      <alignment horizontal="center" vertical="center" wrapText="1"/>
    </xf>
    <xf numFmtId="0" fontId="39" fillId="3" borderId="0" xfId="0" applyFont="1" applyFill="1" applyAlignment="1">
      <alignment horizontal="center" vertical="center" wrapText="1"/>
    </xf>
    <xf numFmtId="0" fontId="39" fillId="12" borderId="0" xfId="0" applyFont="1" applyFill="1"/>
    <xf numFmtId="0" fontId="30" fillId="12" borderId="3" xfId="0" applyFont="1" applyFill="1" applyBorder="1" applyAlignment="1">
      <alignment horizontal="center" vertical="center" wrapText="1"/>
    </xf>
    <xf numFmtId="0" fontId="39" fillId="0" borderId="11" xfId="0" applyFont="1" applyBorder="1" applyAlignment="1">
      <alignment horizontal="left" vertical="center"/>
    </xf>
    <xf numFmtId="0" fontId="78" fillId="3" borderId="2" xfId="0" applyFont="1" applyFill="1" applyBorder="1" applyAlignment="1">
      <alignment horizontal="center" vertical="center" wrapText="1"/>
    </xf>
    <xf numFmtId="0" fontId="79" fillId="27" borderId="2" xfId="0" applyFont="1" applyFill="1" applyBorder="1" applyAlignment="1">
      <alignment horizontal="center" vertical="center" wrapText="1"/>
    </xf>
    <xf numFmtId="0" fontId="79" fillId="22" borderId="2" xfId="0" applyFont="1" applyFill="1" applyBorder="1" applyAlignment="1">
      <alignment horizontal="center" vertical="center" wrapText="1"/>
    </xf>
    <xf numFmtId="0" fontId="79" fillId="9" borderId="2" xfId="0" applyFont="1" applyFill="1" applyBorder="1" applyAlignment="1">
      <alignment horizontal="center" vertical="center" wrapText="1"/>
    </xf>
    <xf numFmtId="0" fontId="79" fillId="18" borderId="2" xfId="0" applyFont="1" applyFill="1" applyBorder="1" applyAlignment="1">
      <alignment horizontal="center" vertical="center" wrapText="1"/>
    </xf>
    <xf numFmtId="0" fontId="79" fillId="8" borderId="2" xfId="0" applyFont="1" applyFill="1" applyBorder="1" applyAlignment="1">
      <alignment horizontal="center" vertical="center" wrapText="1"/>
    </xf>
    <xf numFmtId="0" fontId="78" fillId="8" borderId="2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2" xr:uid="{AE000481-952D-411E-A253-8D9596AF9954}"/>
    <cellStyle name="Normal 2 3 2" xfId="5" xr:uid="{AA525DD4-74DB-454B-8694-944A54D9B147}"/>
    <cellStyle name="Normal 3 2" xfId="4" xr:uid="{C0B33B7F-DB8E-4261-A703-A483E435DBD0}"/>
    <cellStyle name="Porcentagem" xfId="1" builtinId="5"/>
    <cellStyle name="Vírgula" xfId="3" builtinId="3"/>
  </cellStyles>
  <dxfs count="377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D0D0D"/>
        <name val="Calibri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fill>
        <patternFill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numFmt numFmtId="166" formatCode="0.0000"/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numFmt numFmtId="166" formatCode="0.0000"/>
      <fill>
        <patternFill patternType="solid">
          <fgColor indexed="64"/>
          <bgColor rgb="FFFFCCFF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numFmt numFmtId="166" formatCode="0.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numFmt numFmtId="166" formatCode="0.0000"/>
      <fill>
        <patternFill patternType="solid">
          <fgColor indexed="64"/>
          <bgColor rgb="FFFFCC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numFmt numFmtId="1" formatCode="0"/>
      <fill>
        <patternFill patternType="solid">
          <fgColor indexed="64"/>
          <bgColor rgb="FFFFCCFF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numFmt numFmtId="166" formatCode="0.000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numFmt numFmtId="166" formatCode="0.00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numFmt numFmtId="166" formatCode="0.0000"/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numFmt numFmtId="166" formatCode="0.00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numFmt numFmtId="166" formatCode="0.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numFmt numFmtId="166" formatCode="0.00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numFmt numFmtId="166" formatCode="0.000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numFmt numFmtId="166" formatCode="0.0000"/>
      <fill>
        <patternFill patternType="solid">
          <fgColor rgb="FF000000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numFmt numFmtId="166" formatCode="0.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numFmt numFmtId="166" formatCode="0.00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numFmt numFmtId="166" formatCode="0.00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numFmt numFmtId="166" formatCode="0.0000"/>
      <fill>
        <patternFill patternType="solid"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  <fill>
        <patternFill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  <fill>
        <patternFill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  <fill>
        <patternFill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  <fill>
        <patternFill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0.00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fill>
        <patternFill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  <fill>
        <patternFill>
          <bgColor theme="4" tint="0.79998168889431442"/>
        </patternFill>
      </fill>
      <border outline="0">
        <left style="hair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fill>
        <patternFill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 Light"/>
        <family val="2"/>
        <scheme val="major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</dxf>
    <dxf>
      <font>
        <b/>
      </font>
      <border diagonalUp="0" diagonalDown="0" outline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 style="hair">
          <color theme="1"/>
        </right>
        <top style="hair">
          <color theme="1"/>
        </top>
        <bottom style="hair">
          <color theme="1"/>
        </bottom>
      </border>
    </dxf>
    <dxf>
      <border diagonalUp="0" diagonalDown="0" outline="0">
        <left style="hair">
          <color theme="1"/>
        </left>
        <right/>
        <top style="hair">
          <color theme="1"/>
        </top>
        <bottom style="hair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9" formatCode="#,##0;[Red]#,##0"/>
      <alignment horizontal="center" vertical="center" textRotation="0" wrapText="0" indent="0" justifyLastLine="0" shrinkToFit="0" readingOrder="0"/>
      <border diagonalUp="0" diagonalDown="0" outline="0">
        <left/>
        <right style="hair">
          <color theme="1"/>
        </right>
        <top style="hair">
          <color theme="1"/>
        </top>
        <bottom style="hair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/>
        <top style="hair">
          <color theme="1"/>
        </top>
        <bottom style="hair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7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72" formatCode="#,000"/>
      <alignment horizontal="center" vertical="center" textRotation="0" wrapText="1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theme="7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1" indent="0" justifyLastLine="0" shrinkToFit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6" formatCode="0.0000"/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6" formatCode="0.0000"/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6" formatCode="0.0000"/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6" formatCode="0.0000"/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6" formatCode="0.0000"/>
      <alignment horizontal="center" vertical="center" textRotation="0" wrapText="1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0.0000"/>
      <fill>
        <patternFill patternType="solid">
          <fgColor indexed="64"/>
          <bgColor rgb="FFFFCCFF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0.0000"/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0.0000"/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0.0000"/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7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_-;\-* #,##0.00_-;_-* &quot;-&quot;??_-;_-@_-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_-;\-* #,##0.00_-;_-* &quot;-&quot;??_-;_-@_-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_-;\-* #,##0.00_-;_-* &quot;-&quot;??_-;_-@_-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_-;\-* #,##0.00_-;_-* &quot;-&quot;??_-;_-@_-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_-;\-* #,##0.00_-;_-* &quot;-&quot;??_-;_-@_-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0.0000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0.0000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0.0000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0.0000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0.0000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0.0000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0.0000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</font>
      <numFmt numFmtId="0" formatCode="General"/>
      <fill>
        <patternFill>
          <fgColor indexed="64"/>
          <bgColor theme="7" tint="0.79998168889431442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border diagonalUp="0" diagonalDown="0" outline="0">
        <left style="thin">
          <color theme="0" tint="-4.9989318521683403E-2"/>
        </left>
        <right/>
        <top style="thin">
          <color theme="0" tint="-4.9989318521683403E-2"/>
        </top>
        <bottom style="thin">
          <color theme="0" tint="-4.9989318521683403E-2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7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0.0000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_-;\-* #,##0.00_-;_-* &quot;-&quot;??_-;_-@_-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_-;\-* #,##0.00_-;_-* &quot;-&quot;??_-;_-@_-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_-;\-* #,##0.00_-;_-* &quot;-&quot;??_-;_-@_-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_-;\-* #,##0.00_-;_-* &quot;-&quot;??_-;_-@_-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_-;\-* #,##0.00_-;_-* &quot;-&quot;??_-;_-@_-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0.0000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0.0000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0.0000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0.0000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0.0000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0.0000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0.0000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numFmt numFmtId="0" formatCode="General"/>
      <fill>
        <patternFill>
          <fgColor indexed="64"/>
          <bgColor theme="7" tint="0.79998168889431442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0.00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6" formatCode="0.00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6" formatCode="0.00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0.0000"/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6" formatCode="0.00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6" formatCode="0.00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6" formatCode="0.00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0.00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right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4"/>
        <family val="2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66" formatCode="0.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66" formatCode="0.0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66" formatCode="0.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66" formatCode="0.0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66" formatCode="0.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66" formatCode="0.0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66" formatCode="0.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66" formatCode="0.0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66" formatCode="0.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66" formatCode="0.0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66" formatCode="0.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66" formatCode="0.0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66" formatCode="0.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66" formatCode="0.0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66" formatCode="0.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66" formatCode="0.0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66" formatCode="0.0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66" formatCode="0.0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6" formatCode="0.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none"/>
      </font>
      <numFmt numFmtId="166" formatCode="0.0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66" formatCode="0.0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66" formatCode="0.0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66" formatCode="0.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66" formatCode="0.0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righ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6" formatCode="0.00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6" formatCode="0.00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0.00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0.00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6" formatCode="0.0000"/>
      <border diagonalUp="0" diagonalDown="0" outline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6" formatCode="0.0000"/>
      <alignment horizontal="center" vertical="top" textRotation="0" wrapText="0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6" formatCode="0.0000"/>
      <alignment horizontal="center" vertical="center" textRotation="0" wrapText="0" indent="0" justifyLastLine="0" shrinkToFit="0" readingOrder="0"/>
      <border diagonalUp="0" diagonalDown="0" outline="0">
        <left style="hair">
          <color theme="1"/>
        </left>
        <right style="thin">
          <color theme="1"/>
        </right>
        <top style="hair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6" formatCode="0.0000"/>
      <alignment horizontal="center" vertical="center" textRotation="0" wrapText="0" indent="0" justifyLastLine="0" shrinkToFit="0" readingOrder="0"/>
      <border diagonalUp="0" diagonalDown="0" outline="0">
        <left style="hair">
          <color theme="1"/>
        </left>
        <right style="thin">
          <color theme="1"/>
        </right>
        <top style="hair">
          <color theme="1"/>
        </top>
        <bottom style="hair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6" formatCode="0.0000"/>
      <alignment horizontal="center" vertical="center" textRotation="0" wrapText="0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9" formatCode="#,##0;[Red]#,##0"/>
      <alignment horizontal="center" vertical="center" textRotation="0" wrapText="0" indent="0" justifyLastLine="0" shrinkToFit="0" readingOrder="0"/>
      <border diagonalUp="0" diagonalDown="0" outline="0">
        <left style="hair">
          <color theme="1"/>
        </left>
        <right style="hair">
          <color theme="1"/>
        </right>
        <top style="hair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hair">
          <color theme="1"/>
        </left>
        <right style="hair">
          <color theme="1"/>
        </right>
        <top style="hair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hair">
          <color theme="1"/>
        </right>
        <top style="hair">
          <color theme="1"/>
        </top>
        <bottom/>
      </border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border outline="0"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6" formatCode="0.0000"/>
      <fill>
        <patternFill patternType="solid">
          <fgColor indexed="64"/>
          <bgColor rgb="FFFFCCFF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6" formatCode="0.0000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6" formatCode="0.0000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border diagonalUp="0" diagonalDown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border diagonalUp="0" diagonalDown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_-;\-* #,##0.00_-;_-* &quot;-&quot;??_-;_-@_-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_-;\-* #,##0.00_-;_-* &quot;-&quot;??_-;_-@_-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_-;\-* #,##0.00_-;_-* &quot;-&quot;??_-;_-@_-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_-;\-* #,##0.00_-;_-* &quot;-&quot;??_-;_-@_-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_-;\-* #,##0.00_-;_-* &quot;-&quot;??_-;_-@_-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_-;\-* #,##0.00_-;_-* &quot;-&quot;??_-;_-@_-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000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000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000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000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000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000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000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/>
      </border>
    </dxf>
    <dxf>
      <numFmt numFmtId="0" formatCode="General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/>
      </border>
    </dxf>
    <dxf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/>
      </border>
    </dxf>
    <dxf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/>
      </border>
    </dxf>
    <dxf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/>
      </border>
    </dxf>
    <dxf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border diagonalUp="0" diagonalDown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border diagonalUp="0" diagonalDown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/>
      </border>
    </dxf>
    <dxf>
      <border outline="0">
        <right style="thin">
          <color indexed="64"/>
        </right>
        <bottom style="thin">
          <color indexed="64"/>
        </bottom>
      </border>
    </dxf>
    <dxf>
      <numFmt numFmtId="166" formatCode="0.0000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-* #,##0.00_-;\-* #,##0.00_-;_-* &quot;-&quot;??_-;_-@_-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-* #,##0.00_-;\-* #,##0.00_-;_-* &quot;-&quot;??_-;_-@_-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-* #,##0.00_-;\-* #,##0.00_-;_-* &quot;-&quot;??_-;_-@_-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-* #,##0.00_-;\-* #,##0.00_-;_-* &quot;-&quot;??_-;_-@_-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-* #,##0.00_-;\-* #,##0.00_-;_-* &quot;-&quot;??_-;_-@_-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-* #,##0.00_-;\-* #,##0.00_-;_-* &quot;-&quot;??_-;_-@_-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6" formatCode="0.0000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6" formatCode="0.0000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6" formatCode="0.0000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6" formatCode="0.0000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6" formatCode="0.0000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6" formatCode="0.0000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6" formatCode="0.0000"/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right style="thin">
          <color indexed="64"/>
        </right>
        <bottom style="thin">
          <color indexed="64"/>
        </bottom>
      </border>
    </dxf>
    <dxf>
      <border outline="0">
        <left style="thin">
          <color rgb="FF000000"/>
        </left>
        <top style="thin">
          <color rgb="FF000000"/>
        </top>
      </border>
    </dxf>
    <dxf>
      <border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scheme val="minor"/>
      </font>
      <numFmt numFmtId="166" formatCode="0.0000"/>
      <fill>
        <patternFill patternType="none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6" formatCode="0.0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70" formatCode="#,##0.0000"/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70" formatCode="#,##0.0000"/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6" formatCode="0.0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6" formatCode="0.000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6" formatCode="0.0000"/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6" formatCode="0.0000"/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6" formatCode="0.0000"/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6" formatCode="0.0000"/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/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71" formatCode="0.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</font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border>
        <left style="thin">
          <color rgb="FF4472C4"/>
        </left>
      </border>
    </dxf>
    <dxf>
      <border>
        <left style="thin">
          <color rgb="FF4472C4"/>
        </left>
      </border>
    </dxf>
    <dxf>
      <border>
        <top style="thin">
          <color rgb="FF4472C4"/>
        </top>
      </border>
    </dxf>
    <dxf>
      <border>
        <top style="thin">
          <color rgb="FF4472C4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4472C4"/>
        </left>
        <right style="thin">
          <color rgb="FF4472C4"/>
        </right>
        <top style="thin">
          <color rgb="FF4472C4"/>
        </top>
        <bottom style="thin">
          <color rgb="FF4472C4"/>
        </bottom>
      </border>
    </dxf>
    <dxf>
      <border>
        <left style="thin">
          <color rgb="FF4472C4"/>
        </left>
      </border>
    </dxf>
    <dxf>
      <border>
        <left style="thin">
          <color rgb="FF4472C4"/>
        </left>
      </border>
    </dxf>
    <dxf>
      <border>
        <top style="thin">
          <color rgb="FF4472C4"/>
        </top>
      </border>
    </dxf>
    <dxf>
      <border>
        <top style="thin">
          <color rgb="FF4472C4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4472C4"/>
        </left>
        <right style="thin">
          <color rgb="FF4472C4"/>
        </right>
        <top style="thin">
          <color rgb="FF4472C4"/>
        </top>
        <bottom style="thin">
          <color rgb="FF4472C4"/>
        </bottom>
      </border>
    </dxf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3" defaultTableStyle="TableStyleMedium2" defaultPivotStyle="PivotStyleLight16">
    <tableStyle name="TableStyleLight8 2" pivot="0" count="9" xr9:uid="{618E726B-7DE4-4019-BBED-B9D45FE06057}">
      <tableStyleElement type="wholeTable" dxfId="376"/>
      <tableStyleElement type="headerRow" dxfId="375"/>
      <tableStyleElement type="totalRow" dxfId="374"/>
      <tableStyleElement type="firstColumn" dxfId="373"/>
      <tableStyleElement type="lastColumn" dxfId="372"/>
      <tableStyleElement type="firstRowStripe" dxfId="371"/>
      <tableStyleElement type="secondRowStripe" dxfId="370"/>
      <tableStyleElement type="firstColumnStripe" dxfId="369"/>
      <tableStyleElement type="secondColumnStripe" dxfId="368"/>
    </tableStyle>
    <tableStyle name="TableStyleLight9 2" pivot="0" count="9" xr9:uid="{B3D52614-2328-4077-AAA1-29A048C7FAFF}">
      <tableStyleElement type="wholeTable" dxfId="367"/>
      <tableStyleElement type="headerRow" dxfId="366"/>
      <tableStyleElement type="totalRow" dxfId="365"/>
      <tableStyleElement type="firstColumn" dxfId="364"/>
      <tableStyleElement type="lastColumn" dxfId="363"/>
      <tableStyleElement type="firstRowStripe" dxfId="362"/>
      <tableStyleElement type="secondRowStripe" dxfId="361"/>
      <tableStyleElement type="firstColumnStripe" dxfId="360"/>
      <tableStyleElement type="secondColumnStripe" dxfId="359"/>
    </tableStyle>
    <tableStyle name="TableStyleLight9 3" pivot="0" count="9" xr9:uid="{3705F2A6-C5C1-4486-827E-B4564C3E8876}">
      <tableStyleElement type="wholeTable" dxfId="358"/>
      <tableStyleElement type="headerRow" dxfId="357"/>
      <tableStyleElement type="totalRow" dxfId="356"/>
      <tableStyleElement type="firstColumn" dxfId="355"/>
      <tableStyleElement type="lastColumn" dxfId="354"/>
      <tableStyleElement type="firstRowStripe" dxfId="353"/>
      <tableStyleElement type="secondRowStripe" dxfId="352"/>
      <tableStyleElement type="firstColumnStripe" dxfId="351"/>
      <tableStyleElement type="secondColumnStripe" dxfId="350"/>
    </tableStyle>
  </tableStyles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dré Renato Alli" id="{F70A71D4-7093-4EB6-B633-82F6E30C4DFA}" userId="S::andre.alli@cps.sp.gov.br::2ee2baa5-c005-4b53-b742-f2ebee4925f4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87534CE5-A390-4520-8725-4A9E134B5DA3}" name="IACM_FATEC_MD20" displayName="IACM_FATEC_MD20" ref="A4:S84" totalsRowCount="1" headerRowDxfId="44" totalsRowDxfId="348" tableBorderDxfId="349">
  <autoFilter ref="A4:S83" xr:uid="{72247572-A9E6-4CF7-A10F-2E3A4E4F714C}"/>
  <tableColumns count="19">
    <tableColumn id="1" xr3:uid="{9F8509BB-DD9F-4983-9165-BC865713F7C2}" name="Código" dataDxfId="9" totalsRowDxfId="43"/>
    <tableColumn id="2" xr3:uid="{13A4DE9F-0595-445C-8775-F27FABEE6653}" name="Unidade" dataDxfId="7" totalsRowDxfId="6"/>
    <tableColumn id="20" xr3:uid="{59994769-CBBB-408D-B09B-9CE529CABAFD}" name="Linha de Base 2024" dataDxfId="8" totalsRowDxfId="42"/>
    <tableColumn id="19" xr3:uid="{E8D3A7CE-A440-4E6F-BE11-ED7E30B63C8C}" name="Meta 2024" dataDxfId="41" totalsRowDxfId="40"/>
    <tableColumn id="3" xr3:uid="{FFAF3EF6-FC9A-4B60-9CE9-16A061551D15}" name="Dados Unidade" dataDxfId="39" totalsRowDxfId="38"/>
    <tableColumn id="4" xr3:uid="{ED403D1C-6EA6-45A3-B6A0-6017F8BC6719}" name=" ICM" dataDxfId="37" totalsRowDxfId="36"/>
    <tableColumn id="5" xr3:uid="{76A7047F-23C3-4F3F-B953-0B0ADE6BA0A3}" name="PONTOS " dataDxfId="35" totalsRowDxfId="34"/>
    <tableColumn id="6" xr3:uid="{4B381837-1C44-429A-B437-E11797DDB96A}" name="Dados unidade2" dataDxfId="33" totalsRowDxfId="32">
      <calculatedColumnFormula>IACM_FATEC_MD20[[#This Row],[ICM]]*100</calculatedColumnFormula>
    </tableColumn>
    <tableColumn id="7" xr3:uid="{470E5413-66BE-4C69-8B0C-5D12FEDA7C90}" name="ICM" dataDxfId="31" totalsRowDxfId="30"/>
    <tableColumn id="8" xr3:uid="{C5C6B43B-4856-42E7-8350-46E3D3C308B0}" name="PONTOS  " dataDxfId="29" totalsRowDxfId="28">
      <calculatedColumnFormula>IACM_FATEC_MD20[[#This Row],[ICM]]*F2</calculatedColumnFormula>
    </tableColumn>
    <tableColumn id="9" xr3:uid="{F457620B-DFD0-4DBC-8EAB-58DF9DF3887A}" name="Dados Unidade4" dataDxfId="27" totalsRowDxfId="26"/>
    <tableColumn id="10" xr3:uid="{CECF472D-8440-4922-A759-C1BF9F0352E5}" name="ICM  " dataDxfId="25" totalsRowDxfId="24"/>
    <tableColumn id="11" xr3:uid="{B50762D0-D53D-4123-ACA3-083DD1DEEE86}" name="PONTOS   " dataDxfId="23" totalsRowDxfId="22">
      <calculatedColumnFormula>L5*$K$3</calculatedColumnFormula>
    </tableColumn>
    <tableColumn id="12" xr3:uid="{39DB959F-1780-4F62-B2BB-0E3A4DC72998}" name="Dados Unidade7" dataDxfId="21" totalsRowDxfId="20"/>
    <tableColumn id="13" xr3:uid="{C5F694B2-D1DE-4A71-8848-B947DEC86A36}" name="ICM    " dataDxfId="19" totalsRowDxfId="18"/>
    <tableColumn id="14" xr3:uid="{FE0CF766-4D81-45A2-B5D6-6EEA02666A4E}" name="PONTOS      " dataDxfId="17" totalsRowDxfId="16"/>
    <tableColumn id="15" xr3:uid="{9085E21D-FA01-4F2E-AF95-3A1C8082C5EC}" name="Pontos Máximos  para IACM" dataDxfId="15" totalsRowDxfId="14">
      <calculatedColumnFormula>(IF(ISBLANK(G5),0,#REF!))+(IF(ISBLANK(J5),0,$H$3))+(IF(ISBLANK(M5),0,$K$3))+(IF(ISBLANK(P5),0,$N$3))</calculatedColumnFormula>
    </tableColumn>
    <tableColumn id="16" xr3:uid="{DC69F733-5693-4821-8E3B-726BF0728A92}" name="Pontos Obtidos" dataDxfId="13" totalsRowDxfId="12">
      <calculatedColumnFormula>SUM(P5,M5,J5,G5)</calculatedColumnFormula>
    </tableColumn>
    <tableColumn id="17" xr3:uid="{D73C910D-B514-41FC-ACA0-94A0C61EE582}" name="IACM" totalsRowFunction="custom" dataDxfId="11" totalsRowDxfId="10">
      <calculatedColumnFormula>R5/Q5</calculatedColumnFormula>
      <totalsRowFormula>AVERAGE(S5:S81)</totalsRowFormula>
    </tableColumn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166D964-9614-4B64-9980-020B4F88883E}" name="Tabela712" displayName="Tabela712" ref="Y5:AA15" totalsRowShown="0" headerRowDxfId="107" dataDxfId="106">
  <autoFilter ref="Y5:AA15" xr:uid="{B166D964-9614-4B64-9980-020B4F88883E}"/>
  <tableColumns count="3">
    <tableColumn id="1" xr3:uid="{37A3E665-211B-484C-85DA-202D11767A88}" name="Intervalo" dataDxfId="110"/>
    <tableColumn id="2" xr3:uid="{89D10294-39AD-483E-A455-B01F6E707A91}" name="Quantidade" dataDxfId="109"/>
    <tableColumn id="3" xr3:uid="{3E585D00-FB47-44AF-B18C-04C7FA3A8AE0}" name="Percentual" dataDxfId="108" dataCellStyle="Porcentagem"/>
  </tableColumns>
  <tableStyleInfo name="TableStyleMedium1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767DA30-E3C2-462C-A3C6-16A65B31D0A0}" name="Tabela317" displayName="Tabela317" ref="A4:W232" totalsRowShown="0" headerRowDxfId="82" dataDxfId="81" tableBorderDxfId="289" headerRowCellStyle="Vírgula">
  <autoFilter ref="A4:W232" xr:uid="{1767DA30-E3C2-462C-A3C6-16A65B31D0A0}"/>
  <tableColumns count="23">
    <tableColumn id="25" xr3:uid="{7FBB7052-D415-4529-B5BA-976EA7DD8DAC}" name="cod" dataDxfId="105" totalsRowDxfId="288" dataCellStyle="Vírgula"/>
    <tableColumn id="18" xr3:uid="{64EBFE82-57EA-4612-8E98-F68DDC65A4D3}" name="Unidade" dataDxfId="104" totalsRowDxfId="287" dataCellStyle="Vírgula"/>
    <tableColumn id="23" xr3:uid="{25B1C795-444C-4FD0-B468-DC44FAE66CC2}" name="TOTAL ALUNOS ABAIXO DO BASICO" dataDxfId="103" totalsRowDxfId="286"/>
    <tableColumn id="22" xr3:uid="{DE22AED2-109B-4AE3-B94C-DD8BB2FEF787}" name="TOTAL ALUNOS DO BASICO" dataDxfId="102" totalsRowDxfId="285"/>
    <tableColumn id="21" xr3:uid="{D4E32E91-EAF3-41EB-B1AE-D6D4E735316E}" name="TOTAL ALUNOS ADEQUADO" dataDxfId="101" totalsRowDxfId="284"/>
    <tableColumn id="20" xr3:uid="{73276654-E8A9-4947-9679-3A7A084BF018}" name="TOTAL DE ALUNOS AVANÇADO" dataDxfId="100" totalsRowDxfId="283"/>
    <tableColumn id="19" xr3:uid="{9810F91E-84EF-4F3D-A3AE-BAC39CD660E3}" name="TOTAL DE ALUNOS" dataDxfId="99" totalsRowDxfId="282">
      <calculatedColumnFormula>SUM(C5,D5,E5,F5)</calculatedColumnFormula>
    </tableColumn>
    <tableColumn id="24" xr3:uid="{17BD6407-4969-49F9-9C30-C2552CA6EAD5}" name="Participação" dataDxfId="98" totalsRowDxfId="281"/>
    <tableColumn id="3" xr3:uid="{19251EC5-5B1D-4BFB-A0E6-EC843DF1A45F}" name="Abaixo do Básico" dataDxfId="97" totalsRowDxfId="280" dataCellStyle="Vírgula">
      <calculatedColumnFormula>Tabela317[[#This Row],[TOTAL ALUNOS ABAIXO DO BASICO]]/Tabela317[[#This Row],[TOTAL DE ALUNOS]]*100</calculatedColumnFormula>
    </tableColumn>
    <tableColumn id="4" xr3:uid="{7A0C1985-2DFA-4FA2-A9E5-A4D029DAB762}" name="Ponderação 1" dataDxfId="96" totalsRowDxfId="279" dataCellStyle="Vírgula">
      <calculatedColumnFormula>Tabela317[[#This Row],[Abaixo do Básico]]*1</calculatedColumnFormula>
    </tableColumn>
    <tableColumn id="5" xr3:uid="{EE793270-1546-4AF5-AE30-03C9A6E8C461}" name="Básico" dataDxfId="95" totalsRowDxfId="278" dataCellStyle="Vírgula">
      <calculatedColumnFormula>Tabela317[[#This Row],[TOTAL ALUNOS DO BASICO]]/Tabela317[[#This Row],[TOTAL DE ALUNOS]]*100</calculatedColumnFormula>
    </tableColumn>
    <tableColumn id="6" xr3:uid="{54D5D2D7-9F07-4AC0-8FA4-5CD34E6BC2BC}" name="Ponderação 2" dataDxfId="94" totalsRowDxfId="277" dataCellStyle="Vírgula">
      <calculatedColumnFormula>Tabela317[[#This Row],[Básico]]*2</calculatedColumnFormula>
    </tableColumn>
    <tableColumn id="7" xr3:uid="{8D881A94-338F-44DC-9B01-435B60D17811}" name="Adequado" dataDxfId="93" totalsRowDxfId="276" dataCellStyle="Vírgula">
      <calculatedColumnFormula>Tabela317[[#This Row],[TOTAL ALUNOS ADEQUADO]]/Tabela317[[#This Row],[TOTAL DE ALUNOS]]*100</calculatedColumnFormula>
    </tableColumn>
    <tableColumn id="8" xr3:uid="{9DBD503F-B63C-4CC2-ADB0-5CB773333E4E}" name="Ponderação 3" dataDxfId="92" totalsRowDxfId="275" dataCellStyle="Vírgula">
      <calculatedColumnFormula>Tabela317[[#This Row],[Adequado]]*3</calculatedColumnFormula>
    </tableColumn>
    <tableColumn id="9" xr3:uid="{79931D9B-D010-42F6-BE51-C56678C702B8}" name="Avançado" dataDxfId="91" totalsRowDxfId="274" dataCellStyle="Vírgula">
      <calculatedColumnFormula>Tabela317[[#This Row],[TOTAL DE ALUNOS AVANÇADO]]/Tabela317[[#This Row],[TOTAL DE ALUNOS]]*100</calculatedColumnFormula>
    </tableColumn>
    <tableColumn id="10" xr3:uid="{E8B05E9D-A38D-405C-B0BE-72E58D72B858}" name="Ponderação 4" dataDxfId="90" totalsRowDxfId="273" dataCellStyle="Vírgula">
      <calculatedColumnFormula>Tabela317[[#This Row],[Avançado]]*4</calculatedColumnFormula>
    </tableColumn>
    <tableColumn id="11" xr3:uid="{C6A37E9D-4B4C-4EB5-A536-DF6D8AB5FB45}" name="Pontos" dataDxfId="89" totalsRowDxfId="272" dataCellStyle="Vírgula">
      <calculatedColumnFormula>SUM(J5,L5,N5,P5)</calculatedColumnFormula>
    </tableColumn>
    <tableColumn id="12" xr3:uid="{1391DE42-5370-426A-83C8-19293287FD7F}" name="Percentual Participação" dataDxfId="88" totalsRowDxfId="271" dataCellStyle="Vírgula"/>
    <tableColumn id="13" xr3:uid="{99C381C3-CFB6-474A-AE70-68CB0CE67331}" name="Pontos Ponderados Participação ( PO)" dataDxfId="87" totalsRowDxfId="270" dataCellStyle="Vírgula"/>
    <tableColumn id="27" xr3:uid="{CB7789DE-3B67-4834-962D-4B4D81381C1F}" name="Linha de Base 2024" dataDxfId="86" totalsRowDxfId="269">
      <calculatedColumnFormula>Tabela317[[#This Row],[META 2024]]*$C$2</calculatedColumnFormula>
    </tableColumn>
    <tableColumn id="15" xr3:uid="{F4A6981C-4918-4197-9B66-7E33988B9868}" name="META 2024" dataDxfId="85" totalsRowDxfId="268" dataCellStyle="Vírgula"/>
    <tableColumn id="28" xr3:uid="{AC035E82-5B69-4F9E-B9A6-1AC416E32778}" name="CALCULO DO ICM " dataDxfId="84" totalsRowDxfId="267" dataCellStyle="Vírgula"/>
    <tableColumn id="29" xr3:uid="{1AD8CA78-B9D8-4A4E-80FC-CF204A771842}" name="ICM " dataDxfId="83" totalsRowDxfId="266" dataCellStyle="Vírgula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BB6406A-7470-4BF4-822B-486A73C63328}" name="Tabela71213" displayName="Tabela71213" ref="Y5:AA15" totalsRowShown="0" headerRowDxfId="77" dataDxfId="76">
  <autoFilter ref="Y5:AA15" xr:uid="{7BB6406A-7470-4BF4-822B-486A73C63328}"/>
  <tableColumns count="3">
    <tableColumn id="1" xr3:uid="{04A78603-2883-4675-B7B4-0984D56E7C6E}" name="Intervalo" dataDxfId="80"/>
    <tableColumn id="2" xr3:uid="{0D66A9EC-F329-4E32-BBB5-F0BFD70044DE}" name="Quantidade" dataDxfId="79"/>
    <tableColumn id="3" xr3:uid="{77399139-C9E4-415C-A636-7E9AFD0F3E02}" name="Percentual" dataDxfId="78" dataCellStyle="Porcentagem"/>
  </tableColumns>
  <tableStyleInfo name="TableStyleMedium1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DDDCAD5-0034-47CE-A202-B354FBFEEF6B}" name="Tabela1154" displayName="Tabela1154" ref="A3:T231" totalsRowShown="0" headerRowDxfId="58" dataDxfId="57" headerRowBorderDxfId="265" tableBorderDxfId="264" totalsRowBorderDxfId="263">
  <autoFilter ref="A3:T231" xr:uid="{DDDDCAD5-0034-47CE-A202-B354FBFEEF6B}"/>
  <sortState xmlns:xlrd2="http://schemas.microsoft.com/office/spreadsheetml/2017/richdata2" ref="A4:K231">
    <sortCondition ref="A3:A231"/>
  </sortState>
  <tableColumns count="20">
    <tableColumn id="1" xr3:uid="{30F463FD-2545-4712-8203-0FA8344DA0AC}" name="Número da Unidade" dataDxfId="56" totalsRowDxfId="262"/>
    <tableColumn id="2" xr3:uid="{A59EB61C-DE0C-47A7-800B-4C9862417C49}" name="Nome da Unidade" dataDxfId="54" totalsRowDxfId="261"/>
    <tableColumn id="3" xr3:uid="{068AAD14-BA3E-4D14-9692-2BD4856E20B2}" name="MATRICULADOS 1° Semestre 2024" dataDxfId="55"/>
    <tableColumn id="4" xr3:uid="{6208B0C3-5061-46D8-8F82-3F7B11A128DC}" name="Linha de Base (7,5%) 1°Semestre" dataDxfId="75" totalsRowDxfId="260">
      <calculatedColumnFormula>Tabela1154[[#This Row],[MATRICULADOS 1° Semestre 2024]]*0.075</calculatedColumnFormula>
    </tableColumn>
    <tableColumn id="5" xr3:uid="{5BF6520E-05D3-45F6-AE06-EA79ED590015}" name="INSCRITOS - Escola de Inovadores - 1° Semestre 2024" dataDxfId="74"/>
    <tableColumn id="19" xr3:uid="{A6FDADDA-709E-4024-A120-9ACC86B91F41}" name="Percentual INSCRITOS - Escola de Inovadores - 2024" dataDxfId="73" totalsRowDxfId="259">
      <calculatedColumnFormula>IF(Tabela1154[[#This Row],[INSCRITOS - Escola de Inovadores - 1° Semestre 2024]]&lt;Tabela1154[[#This Row],[Linha de Base (7,5%) 1°Semestre]],0,1)</calculatedColumnFormula>
    </tableColumn>
    <tableColumn id="9" xr3:uid="{3A95DF2F-A2E1-4298-9B20-2B96002B5EFC}" name="X = Percentual de inscritos na escola de inovadores para o cumprimento de meta ( Peso 0,60)" dataDxfId="72" totalsRowDxfId="258">
      <calculatedColumnFormula>IF(Tabela1154[[#This Row],[Percentual INSCRITOS - Escola de Inovadores - 2024]]&gt;0,Tabela1154[[#This Row],[Percentual INSCRITOS - Escola de Inovadores - 2024]]*0.6,0)</calculatedColumnFormula>
    </tableColumn>
    <tableColumn id="7" xr3:uid="{60AD3916-FA13-49C2-8C8E-10F8F73954CC}" name="CONCLUINTES ESCOLA DE INOVADORES - 1° Semestre 2024" dataDxfId="71" totalsRowDxfId="257"/>
    <tableColumn id="8" xr3:uid="{928975AD-7D85-480F-9609-06858CB01AF8}" name="Percentual CONCLUINTES - Escola de Inovadores 2024" dataDxfId="70" totalsRowDxfId="256">
      <calculatedColumnFormula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calculatedColumnFormula>
    </tableColumn>
    <tableColumn id="10" xr3:uid="{577E8485-D9B1-45DD-8C84-7F4F1302B245}" name="Y = percentual de concluinte na escola de inovadores para cumprimento de meta ( Peso 0,40)" dataDxfId="69" totalsRowDxfId="255">
      <calculatedColumnFormula>IF(Tabela1154[[#This Row],[X = Percentual de inscritos na escola de inovadores para o cumprimento de meta ( Peso 0,60)]]=0, 0, Tabela1154[[#This Row],[Percentual CONCLUINTES - Escola de Inovadores 2024]]*0.4)</calculatedColumnFormula>
    </tableColumn>
    <tableColumn id="11" xr3:uid="{6C7D6E4F-60E0-4062-8BA1-EFEE9CE1BCCB}" name="Matriculados 2°Semestre em Curso" dataDxfId="68" totalsRowDxfId="254">
      <calculatedColumnFormula>0.6*G4+0.4*J4</calculatedColumnFormula>
    </tableColumn>
    <tableColumn id="17" xr3:uid="{F8793796-2202-448A-B062-3FEB5F533A79}" name="Linha de Base (7,5%) 2°Semestre" dataDxfId="67" totalsRowDxfId="253">
      <calculatedColumnFormula>Tabela1154[[#This Row],[Matriculados 2°Semestre em Curso]]*0.075</calculatedColumnFormula>
    </tableColumn>
    <tableColumn id="6" xr3:uid="{4AE7B838-310B-4695-AC25-EDC27030CFFF}" name="INSCRITOS - Escola de Inovadores - 2°Semestre 2024" dataDxfId="66"/>
    <tableColumn id="12" xr3:uid="{77DC207F-153D-4574-9B90-0379D26E6E8D}" name="Taxa de Inscritos 2° Semestre 2024" dataDxfId="65">
      <calculatedColumnFormula>IF(Tabela1154[[#This Row],[INSCRITOS - Escola de Inovadores - 2°Semestre 2024]]&lt;Tabela1154[[#This Row],[Linha de Base (7,5%) 2°Semestre]], 0,1)</calculatedColumnFormula>
    </tableColumn>
    <tableColumn id="13" xr3:uid="{EF7B41A7-917B-4FE5-8F1A-4FCF1321DEDC}" name="X = Percentual de inscritos na escola de inovadores para o cumprimento de meta ( Peso 0,60) 2°Semestre" dataDxfId="64">
      <calculatedColumnFormula>IF(Tabela1154[[#This Row],[Taxa de Inscritos 2° Semestre 2024]]&gt;0,Tabela1154[[#This Row],[Taxa de Inscritos 2° Semestre 2024]]*0.6,0)</calculatedColumnFormula>
    </tableColumn>
    <tableColumn id="14" xr3:uid="{8C15662C-7630-4B9E-9ABD-901BD3C4CF93}" name="CONCLUINTES ESCOLA DE INOVADORES - 2° Semestre 2024" dataDxfId="63"/>
    <tableColumn id="15" xr3:uid="{AC20E3A1-D224-4F52-917F-7BA88CB0DA29}" name="Percentual CONCLUINTES - Escola de Inovadores 2024 2°Semestre" dataDxfId="62">
      <calculatedColumnFormula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calculatedColumnFormula>
    </tableColumn>
    <tableColumn id="16" xr3:uid="{EBE71C87-77E0-4E11-BDD4-DDB9F0767610}" name="Y = percentual de concluinte na escola de inovadores para cumprimento de meta ( Peso 0,40) 2°Semestre" dataDxfId="61">
      <calculatedColumnFormula>IF(Tabela1154[[#This Row],[Percentual CONCLUINTES - Escola de Inovadores 2024 2°Semestre]]&gt;0,Tabela1154[[#This Row],[Percentual CONCLUINTES - Escola de Inovadores 2024 2°Semestre]]*0.4,0)</calculatedColumnFormula>
    </tableColumn>
    <tableColumn id="18" xr3:uid="{7654B772-947F-4EB1-B41F-7BD1300C1577}" name="CALCULO IPEI" dataDxfId="60">
      <calculatedColumnFormula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calculatedColumnFormula>
    </tableColumn>
    <tableColumn id="20" xr3:uid="{D43C2F9D-58A9-48C2-8BC1-B0F374E18D59}" name="ICM" dataDxfId="59">
      <calculatedColumnFormula>IF(S4&gt;=0.8,100%,IF(S4&gt;=0.7,80%,IF(S4&gt;=0.6,70%,IF(S4&gt;=0.5,60%,IF(S4&gt;=0.4,50%,IF(S4&lt;0.4,0%,))))))</calculatedColumnFormula>
    </tableColumn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7CC58A7-C7E4-4277-A605-4B4C289A6D50}" name="Tabela6" displayName="Tabela6" ref="A2:H230" totalsRowShown="0" headerRowDxfId="53" dataDxfId="251" headerRowBorderDxfId="252" tableBorderDxfId="250">
  <autoFilter ref="A2:H230" xr:uid="{67CC58A7-C7E4-4277-A605-4B4C289A6D50}"/>
  <sortState xmlns:xlrd2="http://schemas.microsoft.com/office/spreadsheetml/2017/richdata2" ref="A3:G230">
    <sortCondition ref="A2:A230"/>
  </sortState>
  <tableColumns count="8">
    <tableColumn id="1" xr3:uid="{F48E02F9-5D9E-4C29-9D17-063B57460583}" name="Código" dataDxfId="249"/>
    <tableColumn id="2" xr3:uid="{CF7D0FC2-072E-46FB-9D03-98C8FA7AF027}" name="Unidade de Ensino" dataDxfId="248"/>
    <tableColumn id="3" xr3:uid="{DC94F4D8-0C8B-4DE1-B534-C3A0DD28C9C8}" name="Concluintes 1°Semestre /2024" dataDxfId="247"/>
    <tableColumn id="4" xr3:uid="{1F745DC3-A847-4D66-9C53-F86A814A34BD}" name="Concluintes 2/Semestre/2024" dataDxfId="246"/>
    <tableColumn id="5" xr3:uid="{575A7A46-4906-450A-86B0-7F6C234EB543}" name="Total Concluintes 2024" dataDxfId="245"/>
    <tableColumn id="6" xr3:uid="{B8CD0EB1-05C3-4C16-A979-7BD4AEBDE8D2}" name="Diplomados SED" dataDxfId="244"/>
    <tableColumn id="7" xr3:uid="{CB893F63-3E3F-46B1-B7D5-9DA33FE0E507}" name="CALCULO DO ICM" dataDxfId="243">
      <calculatedColumnFormula>Tabela6[[#This Row],[Diplomados SED]]/Tabela6[[#This Row],[Total Concluintes 2024]]*100</calculatedColumnFormula>
    </tableColumn>
    <tableColumn id="9" xr3:uid="{9D120D47-A646-40C5-BEE1-F66B7045CBB9}" name="ICM" dataDxfId="242">
      <calculatedColumnFormula>IF(Tabela6[[#This Row],[CALCULO DO ICM]]&gt;=90, 100%, IF(Tabela6[[#This Row],[CALCULO DO ICM]]&gt;=80, 90%, IF(Tabela6[[#This Row],[CALCULO DO ICM]]&gt;=70, 80%, IF(Tabela6[[#This Row],[CALCULO DO ICM]]&gt;=60, 70%,IF(Tabela6[[#This Row],[CALCULO DO ICM]]&gt;=50,60%, 0)))))</calculatedColumnFormula>
    </tableColumn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2CB52A8-AFE3-4FDF-B1B1-C82660DA6EF0}" name="Tabela18" displayName="Tabela18" ref="A1:E225" totalsRowShown="0" headerRowDxfId="52" dataDxfId="240" headerRowBorderDxfId="241" tableBorderDxfId="239">
  <autoFilter ref="A1:E225" xr:uid="{92CB52A8-AFE3-4FDF-B1B1-C82660DA6EF0}"/>
  <tableColumns count="5">
    <tableColumn id="1" xr3:uid="{FEB83AE4-1C25-410C-B7BF-B870AEE3C198}" name="Cód." dataDxfId="51" totalsRowDxfId="238"/>
    <tableColumn id="2" xr3:uid="{E2DF9047-B271-4939-ADD6-5E7AAB807B9A}" name="Unidade de Ensino" dataDxfId="49" totalsRowDxfId="237"/>
    <tableColumn id="3" xr3:uid="{B9BD80EA-80C1-46BE-BE76-F67915C51924}" name="Total de Alunos" dataDxfId="50" totalsRowDxfId="236"/>
    <tableColumn id="4" xr3:uid="{7B0C2869-2F0F-40AA-9FF8-C5127EF5BE07}" name="IACM Unidades" dataDxfId="235"/>
    <tableColumn id="5" xr3:uid="{1B9E8196-BBFF-44E8-849B-0F15512662AC}" name="IACM Ponderado-Nº  Alunos" dataDxfId="234" totalsRowDxfId="233">
      <calculatedColumnFormula>Tabela18[[#This Row],[Total de Alunos]]*Tabela18[[#This Row],[IACM Unidades]]</calculatedColumnFormula>
    </tableColumn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F86F947-2C18-4042-9430-6DDC9856BB9F}" name="Tabela17" displayName="Tabela17" ref="A2:E79" totalsRowShown="0" headerRowDxfId="48" headerRowBorderDxfId="232" tableBorderDxfId="231">
  <autoFilter ref="A2:E79" xr:uid="{DF86F947-2C18-4042-9430-6DDC9856BB9F}"/>
  <tableColumns count="5">
    <tableColumn id="1" xr3:uid="{88DDCA38-1BD3-4A5E-B7FB-4E38426A44B4}" name="Cód." dataDxfId="47"/>
    <tableColumn id="2" xr3:uid="{43898479-9CF5-4EE9-8923-EE156090C1D6}" name="Unidade" dataDxfId="45"/>
    <tableColumn id="3" xr3:uid="{5AE72CCD-BBC2-4C07-A0D2-13FA6A4867FF}" name="Total Alunos" dataDxfId="46"/>
    <tableColumn id="4" xr3:uid="{026268B6-53EA-4B4F-AF69-0194EEFE3907}" name="IACM Unidades" dataDxfId="230"/>
    <tableColumn id="6" xr3:uid="{A30781E1-4D50-45A0-93FF-B222CF6AC148}" name="IACM Ponderado-Nº  Alunos" dataDxfId="229">
      <calculatedColumnFormula>Tabela17[[#This Row],[Total Alunos]]*Tabela17[[#This Row],[IACM Unidades]]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B41D17A-289D-44B8-9B95-B258E45F4C99}" name="Tabela711" displayName="Tabela711" ref="U5:W15" totalsRowShown="0" headerRowDxfId="347" dataDxfId="346">
  <autoFilter ref="U5:W15" xr:uid="{2B41D17A-289D-44B8-9B95-B258E45F4C99}"/>
  <tableColumns count="3">
    <tableColumn id="1" xr3:uid="{ADD8FDF5-FEF1-4499-8ACC-9CA4F988BBFE}" name="Intervalo" dataDxfId="345"/>
    <tableColumn id="2" xr3:uid="{B3864FB2-CD2D-47A7-9BD2-A98E64623407}" name="Quantidade" dataDxfId="344"/>
    <tableColumn id="3" xr3:uid="{A38B019F-EFC0-4DE8-91CF-653439B17487}" name="Percentual" dataDxfId="343" dataCellStyle="Porcentagem">
      <calculatedColumnFormula>V6/$V$15</calculatedColumnFormula>
    </tableColumn>
  </tableColumns>
  <tableStyleInfo name="TableStyleMedium1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D85822-2097-44F9-B2E6-DBA388A3BEB6}" name="Tabela74" displayName="Tabela74" ref="A9:O86" totalsRowShown="0" headerRowDxfId="5" dataDxfId="213">
  <autoFilter ref="A9:O86" xr:uid="{0FD85822-2097-44F9-B2E6-DBA388A3BEB6}"/>
  <sortState xmlns:xlrd2="http://schemas.microsoft.com/office/spreadsheetml/2017/richdata2" ref="A10:O86">
    <sortCondition ref="A9:A86"/>
  </sortState>
  <tableColumns count="15">
    <tableColumn id="1" xr3:uid="{2B1EA16B-6376-4D76-B1AA-B433C22C4F47}" name="Código" dataDxfId="228"/>
    <tableColumn id="2" xr3:uid="{D3F2839F-E855-4795-9893-DA8EA0126A23}" name="Unidade de Ensino" dataDxfId="227"/>
    <tableColumn id="3" xr3:uid="{BEB87AEA-8DD6-46BD-9CF0-57E8BC417367}" name="TCC 2024" dataDxfId="226"/>
    <tableColumn id="4" xr3:uid="{BFB92CF3-C3B7-4634-850F-63E518DD1191}" name="TCC 2024 (N)" dataDxfId="225">
      <calculatedColumnFormula>C10*100</calculatedColumnFormula>
    </tableColumn>
    <tableColumn id="5" xr3:uid="{96687FB6-E170-484B-9E0A-FD55156BA4B4}" name="Classificação" dataDxfId="224">
      <calculatedColumnFormula>IF(D10&gt;=$C$1,"Grupo 1", IF(AND(D10&gt;=$C$2, D10&lt;$C$1),"Grupo 2","Grupo 3"))</calculatedColumnFormula>
    </tableColumn>
    <tableColumn id="6" xr3:uid="{7B7C98B1-9FEC-4176-A891-DC1E55BE8948}" name="TCC 2023(n)" dataDxfId="223"/>
    <tableColumn id="7" xr3:uid="{CB28DAAE-5E80-463B-BFE2-6D3B1B036D70}" name="Linha de Base 2024 (N) " dataDxfId="222"/>
    <tableColumn id="8" xr3:uid="{F300DC94-5515-478C-B2ED-F111848C76BA}" name="Meta 2024 (N)" dataDxfId="221"/>
    <tableColumn id="11" xr3:uid="{2C9F56CF-229F-4350-B017-0754F6FFE0D8}" name="ICM Atribuído - Grupo 1" dataDxfId="220">
      <calculatedColumnFormula>IF(E10="Grupo 1",IF(AND(D10&gt;=$C$1,D10&lt;F10),0.75,IF(AND(D10&gt;=F10,D10&lt;H10),1,IF(D10&gt;=H10,1))))</calculatedColumnFormula>
    </tableColumn>
    <tableColumn id="12" xr3:uid="{19AA8C2A-0202-4DBD-8631-1B0DABB47B7F}" name="ICM Atribuído - Grupo 2" dataDxfId="219">
      <calculatedColumnFormula>IF(E10="Grupo 2",IF(J10&lt;=0,0,IF(AND(J10&gt;0,J10&lt;0.25),0.25,IF(AND(J10&gt;=0.25,J10&lt;0.5),0.5,IF(AND(J10&gt;=0.5,J10&lt;0.75),0.75,IF(AND(J10&gt;=0.75,J10&lt;1),1,1))))))</calculatedColumnFormula>
    </tableColumn>
    <tableColumn id="13" xr3:uid="{85AEE674-D5C8-41B1-8E02-C759A979FBEE}" name="ICM Atribuído - Grupo 3" dataDxfId="218">
      <calculatedColumnFormula>IF(E10="Grupo 3",(Tabela74[[#This Row],[TCC 2024 (N)]]-Tabela74[[#This Row],[Linha de Base 2024 (N) ]])/(Tabela74[[#This Row],[Meta 2024 (N)]]-Tabela74[[#This Row],[Linha de Base 2024 (N) ]]))</calculatedColumnFormula>
    </tableColumn>
    <tableColumn id="9" xr3:uid="{905FED7B-4497-4BD4-83F9-8569B06CA266}" name="ICM Atribuído - Grupo 4" dataDxfId="217">
      <calculatedColumnFormula>IF(E10="Básico",(Tabela74[[#This Row],[TCC 2024 (N)]]-Tabela74[[#This Row],[Meta 2024 (N)]])/(Tabela74[[#This Row],[ICM Atribuído - Grupo 1]]-Tabela74[[#This Row],[Meta 2024 (N)]]),"FALSO")</calculatedColumnFormula>
    </tableColumn>
    <tableColumn id="14" xr3:uid="{A6301ABE-20D7-4CA3-918E-E50E252F816A}" name="ORGANIZANDO VALORES DO ICM DE 0 A 1" dataDxfId="216">
      <calculatedColumnFormula>IF(E10="Grupo 1",IF(AND(D10&gt;=$C$1,D10&lt;F10),0.75,IF(AND(D10&gt;=F10,D10&lt;H10),1,IF(D10&gt;=H10,1))),0)</calculatedColumnFormula>
    </tableColumn>
    <tableColumn id="15" xr3:uid="{2CE7FE38-76E0-45E3-B108-3AF8ACF00A5E}" name="APLICANDO FORMULA GRUPO 3 - ENQUADRAMENTO" dataDxfId="215">
      <calculatedColumnFormula>IF(E10="Grupo 2",IF(J10&lt;=0,0,IF(AND(J10&gt;0,J10&lt;0.25),0.25,IF(AND(J10&gt;=0.25,J10&lt;0.5),0.5,IF(AND(J10&gt;=0.5,J10&lt;0.75),0.75,IF(AND(J10&gt;=0.75,J10&lt;1),1,1))))),0)</calculatedColumnFormula>
    </tableColumn>
    <tableColumn id="17" xr3:uid="{F0D85446-E0C5-414E-A7CD-6A03FF4B6A78}" name="ICM Atribuido Total" dataDxfId="214">
      <calculatedColumnFormula>SUM(#REF!)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26B8CC7-3F40-4B4D-8933-F825B1935AB3}" name="Tabela810" displayName="Tabela810" ref="A2:D81" totalsRowShown="0" headerRowDxfId="4" dataDxfId="342" tableBorderDxfId="341">
  <autoFilter ref="A2:D81" xr:uid="{826B8CC7-3F40-4B4D-8933-F825B1935AB3}"/>
  <tableColumns count="4">
    <tableColumn id="1" xr3:uid="{F4B2A9DD-D465-481F-89D5-6BC13CC9F6C6}" name="Código" dataDxfId="340"/>
    <tableColumn id="2" xr3:uid="{FE2408CF-AC40-4D74-82DD-0311FAADA8EB}" name="Unidade de Ensino" dataDxfId="339"/>
    <tableColumn id="5" xr3:uid="{041F6B21-98DA-4D7C-80F1-9AADF0096423}" name="Percentual de Rendimento Obtido" dataDxfId="338"/>
    <tableColumn id="3" xr3:uid="{3E2A856B-E893-4678-94D4-833F6B042571}" name="ICM" dataDxfId="337">
      <calculatedColumnFormula>IF(C3&gt;=7,100%,IF(C3&gt;=6,90%,IF(C3&gt;=5,80%,IF(C3&gt;=4,70%,IF(C3&gt;=3,60%,IF(C3&gt;=2,50%,0))))))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88C61F2-8B49-44F3-9B6C-0BFDB621DAF7}" name="Tabela13" displayName="Tabela13" ref="A3:T80" totalsRowShown="0" headerRowDxfId="212" dataDxfId="335" headerRowBorderDxfId="336" tableBorderDxfId="334" totalsRowBorderDxfId="333">
  <autoFilter ref="A3:T80" xr:uid="{C88C61F2-8B49-44F3-9B6C-0BFDB621DAF7}"/>
  <sortState xmlns:xlrd2="http://schemas.microsoft.com/office/spreadsheetml/2017/richdata2" ref="A4:T80">
    <sortCondition ref="A3:A80"/>
  </sortState>
  <tableColumns count="20">
    <tableColumn id="1" xr3:uid="{F8ED7252-5D59-4983-BD3D-26A1028430C1}" name="Número da Unidade" dataDxfId="3"/>
    <tableColumn id="2" xr3:uid="{79E26C66-6388-44C9-AD9A-324C4DF2C1DC}" name="Nome da Unidade" dataDxfId="1"/>
    <tableColumn id="3" xr3:uid="{F3695A69-1671-433E-BBF3-73C159ECA2CD}" name="Matrículas de alunos em Curso 1° Semestre 2024" dataDxfId="2"/>
    <tableColumn id="4" xr3:uid="{36541702-32F5-4398-8AE8-429C6B0EFD1F}" name="Linha de Base (7,5%) 1°Semestre" dataDxfId="332">
      <calculatedColumnFormula>Tabela13[[#This Row],[Matrículas de alunos em Curso 1° Semestre 2024]]*0.075</calculatedColumnFormula>
    </tableColumn>
    <tableColumn id="5" xr3:uid="{B58A574F-6FA0-461F-BA8F-28146C89341C}" name="INSCRITOS - Escola de Inovadores - 1° Semestre 2024" dataDxfId="331"/>
    <tableColumn id="6" xr3:uid="{15262EA0-4CEC-4F0D-A37A-4D2C157F65AB}" name="Percentual INSCRITOS - Escola de Inovadores - 2024" dataDxfId="330">
      <calculatedColumnFormula>IF(Tabela13[[#This Row],[INSCRITOS - Escola de Inovadores - 1° Semestre 2024]]&lt;Tabela13[[#This Row],[Linha de Base (7,5%) 1°Semestre]], 0,1)</calculatedColumnFormula>
    </tableColumn>
    <tableColumn id="17" xr3:uid="{9F81548B-12BC-4D36-BC6B-89334094AA18}" name="X = Percentual de inscritos na escola de inovadores para o cumprimento de meta ( Peso 0,60)" dataDxfId="329">
      <calculatedColumnFormula>MIN(IF(Tabela13[[#This Row],[INSCRITOS - Escola de Inovadores - 1° Semestre 2024]]&gt;Tabela13[[#This Row],[Linha de Base (7,5%) 1°Semestre]],0.6*Tabela13[[#This Row],[Percentual INSCRITOS - Escola de Inovadores - 2024]],0),1)</calculatedColumnFormula>
    </tableColumn>
    <tableColumn id="7" xr3:uid="{C8715E5A-DA44-47D8-8917-27D912764B9D}" name="CONCLUINTES ESCOLA DE INOVADORES - 1° Semestre 2024" dataDxfId="328"/>
    <tableColumn id="9" xr3:uid="{A253DA46-D682-45B2-924F-05B6AA9B4899}" name="Percentual CONCLUINTES - Escola de Inovadores 2024" dataDxfId="327">
      <calculatedColumnFormula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calculatedColumnFormula>
    </tableColumn>
    <tableColumn id="8" xr3:uid="{CC39885E-50F9-4208-9BCA-77D23C5F8BC6}" name="Y = percentual de concluinte na escola de inovadores para cumprimento de meta ( Peso 0,40)" dataDxfId="326">
      <calculatedColumnFormula>IF(Tabela13[[#This Row],[X = Percentual de inscritos na escola de inovadores para o cumprimento de meta ( Peso 0,60)]]=0, 0, Tabela13[[#This Row],[Percentual CONCLUINTES - Escola de Inovadores 2024]]*0.4)</calculatedColumnFormula>
    </tableColumn>
    <tableColumn id="27" xr3:uid="{C1D09BA4-8392-4462-8A41-29B1C91BA012}" name="Matriculados 2°Semestre em Curso" dataDxfId="325"/>
    <tableColumn id="26" xr3:uid="{98F4620F-EA6A-4A29-9911-ACEEE78FADAB}" name="Linha de Base (7,5%) 2°Semestre" dataDxfId="324">
      <calculatedColumnFormula>Tabela13[[#This Row],[Matriculados 2°Semestre em Curso]]*7.5%</calculatedColumnFormula>
    </tableColumn>
    <tableColumn id="20" xr3:uid="{E8CDEF21-1E7D-4F79-A4CD-5BF6C61B3085}" name="INSCRITOS - Escola de Inovadores - 2°Semestre 2024" dataDxfId="323"/>
    <tableColumn id="21" xr3:uid="{0845C83C-E469-4A16-8D5E-CCCF9E97D5B5}" name="Taxa de Inscritos 2° Semestre 2024" dataDxfId="322">
      <calculatedColumnFormula>IF(Tabela13[[#This Row],[INSCRITOS - Escola de Inovadores - 2°Semestre 2024]]&lt;L4, 0,1)</calculatedColumnFormula>
    </tableColumn>
    <tableColumn id="22" xr3:uid="{71DE4D74-AD7B-4414-9073-8E823E6B525F}" name="X = Percentual de inscritos na escola de inovadores para o cumprimento de meta ( Peso 0,60) 2°Semestre" dataDxfId="321">
      <calculatedColumnFormula>MIN(IF(Tabela13[[#This Row],[INSCRITOS - Escola de Inovadores - 2°Semestre 2024]]&gt;Tabela13[[#This Row],[Linha de Base (7,5%) 2°Semestre]],0.6*Tabela13[[#This Row],[Percentual INSCRITOS - Escola de Inovadores - 2024]],0),1)</calculatedColumnFormula>
    </tableColumn>
    <tableColumn id="23" xr3:uid="{FFB5910A-D980-4A42-8F63-D7974D70F425}" name="CONCLUINTES ESCOLA DE INOVADORES - 2° Semestre 2024" dataDxfId="320"/>
    <tableColumn id="24" xr3:uid="{05F604D0-62B0-4610-819B-97AB19938CB7}" name="Percentual CONCLUINTES - Escola de Inovadores 2024 2°Semestre" dataDxfId="319">
      <calculatedColumnFormula>IFERROR(IF(Tabela13[[#This Row],[Taxa de Inscritos 2° Semestre 2024]]=0, 0, MIN(1,Tabela13[[#This Row],[CONCLUINTES ESCOLA DE INOVADORES - 2° Semestre 2024]]/Tabela13[[#This Row],[Linha de Base (7,5%) 2°Semestre]])),0)</calculatedColumnFormula>
    </tableColumn>
    <tableColumn id="25" xr3:uid="{4BA7B4B2-D840-40EB-A342-E8AF3E929C79}" name="Y = percentual de concluinte na escola de inovadores para cumprimento de meta ( Peso 0,40) 2°Semestre" dataDxfId="318">
      <calculatedColumnFormula>IF(Tabela13[[#This Row],[X = Percentual de inscritos na escola de inovadores para o cumprimento de meta ( Peso 0,60) 2°Semestre]]=0, 0, ROUND(Tabela13[[#This Row],[Percentual CONCLUINTES - Escola de Inovadores 2024 2°Semestre]]*0.4,1))</calculatedColumnFormula>
    </tableColumn>
    <tableColumn id="10" xr3:uid="{2B199523-2127-4255-AC69-7229950A9CE4}" name="CALCULO IPEI" dataDxfId="317">
      <calculatedColumnFormula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calculatedColumnFormula>
    </tableColumn>
    <tableColumn id="11" xr3:uid="{6E6E918F-0BF5-4843-BEED-567CA6CA75D1}" name="ICM" dataDxfId="316">
      <calculatedColumnFormula>IF(S4&gt;=0.8,100%,IF(S4&gt;=0.7,80%,IF(S4&gt;=0.6,70%,IF(S4&gt;=0.5,60%,IF(S4&gt;=0.4,50%,IF(S4&lt;0.4,0%,))))))</calculatedColumn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67E96AEF-5C3A-4F6B-AA92-1AD32CB99187}" name="Tabela3521" displayName="Tabela3521" ref="A3:Z232" totalsRowCount="1" headerRowDxfId="0" dataDxfId="162" totalsRowDxfId="163" headerRowBorderDxfId="315" tableBorderDxfId="314">
  <autoFilter ref="A3:Z231" xr:uid="{9F48AB53-7C90-4BEC-AF33-354E72116564}"/>
  <sortState xmlns:xlrd2="http://schemas.microsoft.com/office/spreadsheetml/2017/richdata2" ref="A4:Z231">
    <sortCondition ref="A3:A231"/>
  </sortState>
  <tableColumns count="26">
    <tableColumn id="1" xr3:uid="{EF12F2E1-CA53-4989-B816-49D6DACB0D48}" name="Código" dataDxfId="156" totalsRowDxfId="211"/>
    <tableColumn id="2" xr3:uid="{5A62CF1A-01B7-46CF-9BCC-CE261D432D38}" name="Unidade" dataDxfId="154" totalsRowDxfId="153"/>
    <tableColumn id="21" xr3:uid="{CBD06B6B-8F4D-41B8-BE8D-97F0944FBD48}" name="Linha de Base 2024" dataDxfId="155" totalsRowDxfId="210"/>
    <tableColumn id="22" xr3:uid="{DCBC1566-4238-48C1-BF1B-220F92651D70}" name="Meta 2024" dataDxfId="209" totalsRowDxfId="208"/>
    <tableColumn id="3" xr3:uid="{58857265-22F8-442D-B9C6-D9C6394C30DD}" name="Resultado I1" dataDxfId="207" totalsRowDxfId="206"/>
    <tableColumn id="4" xr3:uid="{0B62B9D6-9119-4F8B-9B05-DAC6F31FEE7B}" name="ICM" dataDxfId="205" totalsRowDxfId="204"/>
    <tableColumn id="5" xr3:uid="{0B4076B6-0285-45A2-AE42-A2F9317CD89B}" name="Pontos" dataDxfId="203" totalsRowDxfId="202"/>
    <tableColumn id="25" xr3:uid="{B9A8CC29-EA9C-44F2-946B-F4C9CD035565}" name="Linha de Base 2024 Provão LP" dataDxfId="201" totalsRowDxfId="200"/>
    <tableColumn id="24" xr3:uid="{A5EC65E3-3864-4FD6-B167-1AFEE0046FFA}" name="Meta 2024 Provão LP" dataDxfId="199" totalsRowDxfId="198"/>
    <tableColumn id="6" xr3:uid="{E0897BF8-29E2-45EE-9D74-A8F48A1F25E4}" name="Provão 2024 - Língua Portuguesa" dataDxfId="197" totalsRowDxfId="196"/>
    <tableColumn id="7" xr3:uid="{6EA41264-6C5A-46EC-B36B-621C88DB0A0D}" name="ICM    " dataDxfId="195" totalsRowDxfId="194"/>
    <tableColumn id="8" xr3:uid="{926B2F00-D316-41A9-A6C6-550FBC6817E3}" name="Pontos Língua Portuguesa" dataDxfId="193" totalsRowDxfId="192"/>
    <tableColumn id="26" xr3:uid="{4CDAF7A7-D2A6-4C38-B5F9-2388CD8EF25E}" name="Linha de Base Provão 2024 Matemática" dataDxfId="191" totalsRowDxfId="190"/>
    <tableColumn id="27" xr3:uid="{4948F3D9-85B7-4C66-AD6B-1C155EF853C0}" name="Meta 2024 Provão Matemática" dataDxfId="189" totalsRowDxfId="188"/>
    <tableColumn id="9" xr3:uid="{9D3F128D-AC6C-4A01-86FF-2D4B5A9701C0}" name="Provão 2024 - Matemática" dataDxfId="187" totalsRowDxfId="186"/>
    <tableColumn id="10" xr3:uid="{F5DCAFF9-FDF6-44C6-A585-A0EF7ECC58DC}" name="ICM      " dataDxfId="185" totalsRowDxfId="184"/>
    <tableColumn id="11" xr3:uid="{FB8AA163-3F45-4AA3-8AEE-468E650FD856}" name="Pontos Matemática" dataDxfId="183" totalsRowDxfId="182"/>
    <tableColumn id="12" xr3:uid="{37E9352E-4BA0-4021-983C-B681F0E08E63}" name="Resultados Ponderados I3" dataDxfId="181" totalsRowDxfId="180"/>
    <tableColumn id="13" xr3:uid="{774C8798-102D-405E-BDA1-82D8B66E66D0}" name="ICM         " dataDxfId="179" totalsRowDxfId="178"/>
    <tableColumn id="14" xr3:uid="{9EC2BDF3-D4B5-4A6B-8482-017471AFCFF8}" name="Pontos - I3" dataDxfId="177" totalsRowDxfId="176"/>
    <tableColumn id="15" xr3:uid="{43A12D0A-5BFC-4BCB-AEA3-AF36A81DA90A}" name="Índice de Diplomação Técnica" dataDxfId="175" totalsRowDxfId="174"/>
    <tableColumn id="16" xr3:uid="{0A6C28B4-914F-4DD4-A5A3-CC1C971A53F2}" name="ICM           " dataDxfId="173" totalsRowDxfId="172">
      <calculatedColumnFormula>IF(U4&gt;90,100%, IF(U4&gt;=80,90%, IF(U4&gt;=70,80%, IF(U4&gt;=60,70%, IF(U4&gt;=0,0%)))))</calculatedColumnFormula>
    </tableColumn>
    <tableColumn id="17" xr3:uid="{0508005B-677D-4996-9BEA-FF3D63E6E296}" name="Pontos - I4" dataDxfId="171" totalsRowDxfId="170">
      <calculatedColumnFormula>V4*$U$2</calculatedColumnFormula>
    </tableColumn>
    <tableColumn id="18" xr3:uid="{288E4B0C-07DC-493F-A6B5-8C79526E984C}" name="Pontos Máximos  para IACM" dataDxfId="169" totalsRowDxfId="168"/>
    <tableColumn id="19" xr3:uid="{AB829018-EC33-462B-A7D7-57614772E8EB}" name="Pontos Obtidos" dataDxfId="167" totalsRowDxfId="166">
      <calculatedColumnFormula>SUM(G4,L4,Q4,T4,W4)</calculatedColumnFormula>
    </tableColumn>
    <tableColumn id="20" xr3:uid="{24FF0AAF-7D6E-4A41-8E87-128440D3604B}" name="IACM" totalsRowFunction="custom" dataDxfId="165" totalsRowDxfId="164">
      <totalsRowFormula>AVERAGE(Z4:Z227)</totalsRowFormula>
    </tableColumn>
  </tableColumns>
  <tableStyleInfo name="TableStyleLight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B9E69A0-DBA8-4914-A6C5-F471C7C44293}" name="Tabela7" displayName="Tabela7" ref="AB5:AD15" totalsRowShown="0" headerRowDxfId="158" dataDxfId="157">
  <autoFilter ref="AB5:AD15" xr:uid="{7B9E69A0-DBA8-4914-A6C5-F471C7C44293}"/>
  <tableColumns count="3">
    <tableColumn id="1" xr3:uid="{6F533422-4B0A-4CCA-9534-9382B453F2AD}" name="Intervalo" dataDxfId="161"/>
    <tableColumn id="2" xr3:uid="{83F928B0-097A-4B6B-BFE0-011B70B47F63}" name="Quantidade" dataDxfId="160"/>
    <tableColumn id="3" xr3:uid="{453633C7-1D4A-4F38-973E-C88B095DB70C}" name="Percentual" dataDxfId="159" dataCellStyle="Porcentagem"/>
  </tableColumns>
  <tableStyleInfo name="TableStyleMedium1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2693316-867A-47C0-A1B4-F6FA46952597}" name="Tabela746" displayName="Tabela746" ref="A10:O238" totalsRowShown="0" headerRowDxfId="140" dataDxfId="139">
  <autoFilter ref="A10:O238" xr:uid="{52693316-867A-47C0-A1B4-F6FA46952597}"/>
  <sortState xmlns:xlrd2="http://schemas.microsoft.com/office/spreadsheetml/2017/richdata2" ref="A11:O238">
    <sortCondition ref="A10:A238"/>
  </sortState>
  <tableColumns count="15">
    <tableColumn id="1" xr3:uid="{B6DD2CEF-1DB4-4EF9-9AA1-3A275222A494}" name="Código" dataDxfId="138"/>
    <tableColumn id="2" xr3:uid="{FC50BE9D-D958-48F4-94E7-2E67AA546E58}" name="Unidade de Ensino" dataDxfId="136"/>
    <tableColumn id="3" xr3:uid="{93718F9D-A03E-46A1-B221-DE201B5AD354}" name="TCC 2024" dataDxfId="137"/>
    <tableColumn id="4" xr3:uid="{18DCD131-8859-430D-8EE6-74F29CA44BF8}" name="TCC 2024 (N)" dataDxfId="152">
      <calculatedColumnFormula>C11*100</calculatedColumnFormula>
    </tableColumn>
    <tableColumn id="5" xr3:uid="{FFDDC503-A05D-4D0B-AB3E-409376873F6D}" name="Classificação" dataDxfId="151">
      <calculatedColumnFormula>IF(D11&gt;=$C$1,"Grupo 1", IF(AND(D11&gt;=$C$2, D11&lt;$C$1),"Grupo 2","Grupo 3"))</calculatedColumnFormula>
    </tableColumn>
    <tableColumn id="6" xr3:uid="{8FF6348D-5251-4CA2-8336-B4686F9A4F53}" name="TCC 2023(n)" dataDxfId="150"/>
    <tableColumn id="7" xr3:uid="{A88FA973-7B74-4096-8AE2-A84E42C85380}" name="Linha de Base 2024 (N) " dataDxfId="149"/>
    <tableColumn id="8" xr3:uid="{730B4903-ABF8-4CA3-AB12-EF8D098FA52D}" name="Meta 2024 (N)" dataDxfId="148"/>
    <tableColumn id="11" xr3:uid="{0525B57A-8DF5-4756-B53A-124C6A6675EE}" name="ICM Atribuído - Grupo 1" dataDxfId="147">
      <calculatedColumnFormula>IF(E11="Grupo 1",IF(AND(D11&gt;=$C$1,D11&lt;F11),0.75,IF(AND(D11&gt;=F11,D11&lt;H11),1,IF(D11&gt;=H11,1))))</calculatedColumnFormula>
    </tableColumn>
    <tableColumn id="12" xr3:uid="{39BE4FFB-9BA9-4F54-ABB9-9431DB2983CA}" name="ICM Atribuído - Grupo 2" dataDxfId="146">
      <calculatedColumnFormula>IF(E11="Grupo 2",IF(J11&lt;=0,0,IF(AND(J11&gt;0,J11&lt;0.25),0.25,IF(AND(J11&gt;=0.25,J11&lt;0.5),0.5,IF(AND(J11&gt;=0.5,J11&lt;0.75),0.75,IF(AND(J11&gt;=0.75,J11&lt;1),1,1))))))</calculatedColumnFormula>
    </tableColumn>
    <tableColumn id="13" xr3:uid="{67693A75-28A3-4DFC-A144-BDB6488EDF9F}" name="ICM Atribuído - Grupo 3" dataDxfId="145">
      <calculatedColumnFormula>IF(E11="Grupo 3",(Tabela746[[#This Row],[TCC 2024 (N)]]-Tabela746[[#This Row],[Linha de Base 2024 (N) ]])/(Tabela746[[#This Row],[Meta 2024 (N)]]-Tabela746[[#This Row],[Linha de Base 2024 (N) ]]))</calculatedColumnFormula>
    </tableColumn>
    <tableColumn id="9" xr3:uid="{629DCE8D-DB42-416B-98DC-79DDCBC1FCC7}" name="ICM Atribuído - Grupo 4" dataDxfId="144">
      <calculatedColumnFormula>IF(E11="Básico",(Tabela746[[#This Row],[TCC 2024 (N)]]-Tabela746[[#This Row],[Meta 2024 (N)]])/(Tabela746[[#This Row],[ICM Atribuído - Grupo 1]]-Tabela746[[#This Row],[Meta 2024 (N)]]),"FALSO")</calculatedColumnFormula>
    </tableColumn>
    <tableColumn id="14" xr3:uid="{063CC951-F0CA-4B14-B59E-48E9CCB88A38}" name="ORGANIZANDO VALORES DO ICM DE 0 A 1" dataDxfId="143">
      <calculatedColumnFormula>IF(E11="Grupo 1",IF(AND(D11&gt;=$C$1,D11&lt;F11),0.75,IF(AND(D11&gt;=F11,D11&lt;H11),1,IF(D11&gt;=H11,1))),0)</calculatedColumnFormula>
    </tableColumn>
    <tableColumn id="15" xr3:uid="{68A6D6AE-53EF-4B03-B6E2-99DC18DC856A}" name="APLICANDO FORMULA GRUPO 3 - ENQUADRAMENTO" dataDxfId="142">
      <calculatedColumnFormula>IF(E11="Grupo 2",IF(J11&lt;=0,0,IF(AND(J11&gt;0,J11&lt;0.25),0.25,IF(AND(J11&gt;=0.25,J11&lt;0.5),0.5,IF(AND(J11&gt;=0.5,J11&lt;0.75),0.75,IF(AND(J11&gt;=0.75,J11&lt;1),1,1))))),0)</calculatedColumnFormula>
    </tableColumn>
    <tableColumn id="17" xr3:uid="{7A5264FE-2019-4D81-A07B-0C7A982D46DD}" name="ICM Atribuido Total" dataDxfId="141">
      <calculatedColumnFormula>SUM(#REF!)</calculatedColumnFormula>
    </tableColumn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11773E2-BE13-4FD7-8C20-25D5D219C2E6}" name="Tabela3" displayName="Tabela3" ref="A4:W232" totalsRowShown="0" headerRowDxfId="112" dataDxfId="111" tableBorderDxfId="313" headerRowCellStyle="Vírgula">
  <autoFilter ref="A4:W232" xr:uid="{D11773E2-BE13-4FD7-8C20-25D5D219C2E6}"/>
  <sortState xmlns:xlrd2="http://schemas.microsoft.com/office/spreadsheetml/2017/richdata2" ref="A5:W232">
    <sortCondition ref="A4:A232"/>
  </sortState>
  <tableColumns count="23">
    <tableColumn id="1" xr3:uid="{CCB813A0-303B-4349-B277-E9DD24AACD5B}" name="cod" dataDxfId="135" totalsRowDxfId="312"/>
    <tableColumn id="2" xr3:uid="{4710AEEA-C135-4E1D-9D6E-B51C12743D96}" name="Unidade de Ensino" dataDxfId="134" totalsRowDxfId="311"/>
    <tableColumn id="23" xr3:uid="{D1ECA2EC-5D38-42D3-95C5-1785895F2107}" name="TOTAL DE ALUNOS ABAIXO DO BÁSICO" dataDxfId="133" totalsRowDxfId="310"/>
    <tableColumn id="22" xr3:uid="{3A2CC463-D157-4A07-805D-7299D64A957D}" name="TOTAL DE ALUNOS NO BÁSICO" dataDxfId="132" totalsRowDxfId="309"/>
    <tableColumn id="21" xr3:uid="{FA10BCD2-3B36-4CB4-A11E-7FA37D5520C5}" name="TOTAL DE ALUNOS ADEQUADO" dataDxfId="131" totalsRowDxfId="308"/>
    <tableColumn id="20" xr3:uid="{E452D0BF-BE92-4958-BA16-D2E98BA9352E}" name="TOTAL DE ALUNOS AVANÇADO" dataDxfId="130" totalsRowDxfId="307"/>
    <tableColumn id="19" xr3:uid="{116EE1DB-EE9F-4551-B65E-A044F8191114}" name="TOTAL DE ALUNOS" dataDxfId="129" totalsRowDxfId="306">
      <calculatedColumnFormula>SUM(C5:F5)</calculatedColumnFormula>
    </tableColumn>
    <tableColumn id="24" xr3:uid="{BF912F0F-66F1-4C58-B91E-484A0A96BE20}" name="Participação" dataDxfId="128" totalsRowDxfId="305"/>
    <tableColumn id="3" xr3:uid="{5FB8B9A3-208A-40D8-BDEC-2E8C154F6D4A}" name="Abaixo do Básico" dataDxfId="127" totalsRowDxfId="304" dataCellStyle="Vírgula">
      <calculatedColumnFormula>Tabela3[[#This Row],[TOTAL DE ALUNOS ABAIXO DO BÁSICO]]/Tabela3[[#This Row],[TOTAL DE ALUNOS]]*100</calculatedColumnFormula>
    </tableColumn>
    <tableColumn id="4" xr3:uid="{433691E6-E413-4A5E-8524-9C21F3E02CB0}" name="Ponderação 1" dataDxfId="126" totalsRowDxfId="303" dataCellStyle="Vírgula">
      <calculatedColumnFormula>Tabela3[[#This Row],[Abaixo do Básico]]*1</calculatedColumnFormula>
    </tableColumn>
    <tableColumn id="5" xr3:uid="{3186E71B-994E-4049-9013-823C2DD1439A}" name="Básico" dataDxfId="125" totalsRowDxfId="302" dataCellStyle="Vírgula">
      <calculatedColumnFormula>Tabela3[[#This Row],[TOTAL DE ALUNOS NO BÁSICO]]/Tabela3[[#This Row],[TOTAL DE ALUNOS]]*100</calculatedColumnFormula>
    </tableColumn>
    <tableColumn id="6" xr3:uid="{E4876E40-2B7B-469F-9366-F40D2AD32D28}" name="Ponderação 2" dataDxfId="124" totalsRowDxfId="301" dataCellStyle="Vírgula">
      <calculatedColumnFormula>Tabela3[[#This Row],[Básico]]*2</calculatedColumnFormula>
    </tableColumn>
    <tableColumn id="7" xr3:uid="{37C51947-7826-40B6-AA26-87507C706689}" name="Adequado" dataDxfId="123" totalsRowDxfId="300" dataCellStyle="Vírgula">
      <calculatedColumnFormula>Tabela3[[#This Row],[TOTAL DE ALUNOS ADEQUADO]]/Tabela3[[#This Row],[TOTAL DE ALUNOS]]*100</calculatedColumnFormula>
    </tableColumn>
    <tableColumn id="8" xr3:uid="{9E57EF35-15BF-4818-B8C4-5E15F966F8BA}" name="Ponderação 3" dataDxfId="122" totalsRowDxfId="299" dataCellStyle="Vírgula">
      <calculatedColumnFormula>Tabela3[[#This Row],[Adequado]]*3</calculatedColumnFormula>
    </tableColumn>
    <tableColumn id="9" xr3:uid="{C2CA6A79-8724-4AD9-8363-57D806193625}" name="Avançado" dataDxfId="121" totalsRowDxfId="298" dataCellStyle="Vírgula">
      <calculatedColumnFormula>Tabela3[[#This Row],[TOTAL DE ALUNOS AVANÇADO]]/Tabela3[[#This Row],[TOTAL DE ALUNOS]]*100</calculatedColumnFormula>
    </tableColumn>
    <tableColumn id="10" xr3:uid="{DA444116-C2EF-4654-87A3-C46E144BC353}" name="Ponderação 4" dataDxfId="120" totalsRowDxfId="297" dataCellStyle="Vírgula">
      <calculatedColumnFormula>Tabela3[[#This Row],[Avançado]]*4</calculatedColumnFormula>
    </tableColumn>
    <tableColumn id="11" xr3:uid="{608AF859-9FA0-47A1-9BD6-000A9A613718}" name="Pontos" dataDxfId="119" totalsRowDxfId="296" dataCellStyle="Vírgula">
      <calculatedColumnFormula>SUM(J5,L5,N5,P5)</calculatedColumnFormula>
    </tableColumn>
    <tableColumn id="12" xr3:uid="{529E74E3-131C-4D7D-B660-12DFFAE77653}" name="Percentual Participação" dataDxfId="118" totalsRowDxfId="295" dataCellStyle="Vírgula"/>
    <tableColumn id="13" xr3:uid="{6ABA1975-62E3-4445-A9A2-4F4B69B8FEFA}" name="Pontos Ponderados Participação" dataDxfId="117" totalsRowDxfId="294" dataCellStyle="Vírgula"/>
    <tableColumn id="14" xr3:uid="{19ECDB79-5A1C-4AEA-B0A9-8AF0F7749E0A}" name="Linha de Base 2024" dataDxfId="116" totalsRowDxfId="293" dataCellStyle="Vírgula">
      <calculatedColumnFormula>Tabela3[[#This Row],[Meta 2024]]*$D$1</calculatedColumnFormula>
    </tableColumn>
    <tableColumn id="15" xr3:uid="{2FFC0D9B-2BFA-4AE6-A4BB-AAF2747DC0F5}" name="Meta 2024" dataDxfId="115" totalsRowDxfId="292" dataCellStyle="Vírgula"/>
    <tableColumn id="16" xr3:uid="{B1478F3D-89F9-46DE-B804-9DDB5BC75C90}" name="CALCULO DO ICM" dataDxfId="114" totalsRowDxfId="291" dataCellStyle="Vírgula">
      <calculatedColumnFormula>1-((U5-Q5)/(U5-T5))</calculatedColumnFormula>
    </tableColumn>
    <tableColumn id="17" xr3:uid="{0CFAEE1F-6184-471C-BB11-8718E032F1BF}" name="ICM" dataDxfId="113" totalsRowDxfId="290" dataCellStyle="Vírgula">
      <calculatedColumnFormula>IF(V5&lt;0,0,IF(V5&lt;=1,V5,1))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" dT="2025-03-25T18:39:41.16" personId="{F70A71D4-7093-4EB6-B633-82F6E30C4DFA}" id="{E312DF9F-7AE0-4ADE-9ABD-47E376DA1B99}">
    <text>Matriculados 1°Semestre-data25032025 dados. Sem o EAD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3" dT="2025-03-25T13:58:28.35" personId="{F70A71D4-7093-4EB6-B633-82F6E30C4DFA}" id="{086A6533-7588-4545-BAC1-4085ECF643FD}">
    <text>Matriculados Date 25032025 sem EAD em curso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13.xml"/><Relationship Id="rId1" Type="http://schemas.openxmlformats.org/officeDocument/2006/relationships/vmlDrawing" Target="../drawings/vmlDrawing2.vml"/><Relationship Id="rId4" Type="http://schemas.microsoft.com/office/2017/10/relationships/threadedComment" Target="../threadedComments/threadedComment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5.xml"/><Relationship Id="rId1" Type="http://schemas.openxmlformats.org/officeDocument/2006/relationships/vmlDrawing" Target="../drawings/vmlDrawing1.vml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table" Target="../tables/table9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table" Target="../tables/table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70A04-A363-4E68-8B8C-05A7B08DD7CA}">
  <sheetPr>
    <tabColor rgb="FFFFFF00"/>
  </sheetPr>
  <dimension ref="A1:AE84"/>
  <sheetViews>
    <sheetView showGridLines="0" topLeftCell="E1" zoomScale="85" zoomScaleNormal="85" workbookViewId="0">
      <selection activeCell="C2" sqref="C2:G2"/>
    </sheetView>
  </sheetViews>
  <sheetFormatPr defaultRowHeight="15"/>
  <cols>
    <col min="1" max="1" width="13.140625" customWidth="1"/>
    <col min="2" max="2" width="43.140625" style="120" customWidth="1"/>
    <col min="3" max="3" width="25.85546875" style="55" customWidth="1"/>
    <col min="4" max="4" width="16.85546875" style="55" customWidth="1"/>
    <col min="5" max="5" width="24.140625" style="55" customWidth="1"/>
    <col min="6" max="6" width="14.140625" style="56" customWidth="1"/>
    <col min="7" max="7" width="19.42578125" style="56" customWidth="1"/>
    <col min="8" max="8" width="9.5703125" style="56" customWidth="1"/>
    <col min="9" max="9" width="14.28515625" style="57" customWidth="1"/>
    <col min="10" max="10" width="16.85546875" style="57" customWidth="1"/>
    <col min="11" max="11" width="9.5703125" style="57" customWidth="1"/>
    <col min="12" max="12" width="14.28515625" style="58" customWidth="1"/>
    <col min="13" max="13" width="16.7109375" style="58" customWidth="1"/>
    <col min="14" max="14" width="9.5703125" style="58" customWidth="1"/>
    <col min="15" max="15" width="11.7109375" style="43" customWidth="1"/>
    <col min="16" max="16" width="25" style="43" customWidth="1"/>
    <col min="17" max="17" width="15.5703125" style="43" customWidth="1"/>
    <col min="18" max="18" width="17.28515625" customWidth="1"/>
    <col min="19" max="19" width="15.85546875" customWidth="1"/>
    <col min="21" max="21" width="14.140625" customWidth="1"/>
    <col min="24" max="24" width="13.28515625" customWidth="1"/>
    <col min="27" max="27" width="13.28515625" customWidth="1"/>
    <col min="30" max="30" width="11.5703125" bestFit="1" customWidth="1"/>
  </cols>
  <sheetData>
    <row r="1" spans="1:23" ht="20.25">
      <c r="A1" s="607" t="s">
        <v>708</v>
      </c>
      <c r="B1" s="608"/>
      <c r="C1" s="171"/>
      <c r="D1" s="171"/>
      <c r="E1" s="171"/>
      <c r="F1" s="138"/>
      <c r="G1" s="138"/>
      <c r="H1" s="138"/>
      <c r="I1" s="138"/>
      <c r="J1" s="138"/>
      <c r="K1" s="138"/>
      <c r="L1"/>
      <c r="M1" s="138"/>
      <c r="N1" s="138"/>
      <c r="O1"/>
      <c r="P1" s="139"/>
      <c r="Q1" s="140"/>
    </row>
    <row r="2" spans="1:23" s="234" customFormat="1" ht="40.15" customHeight="1">
      <c r="A2" s="556" t="s">
        <v>610</v>
      </c>
      <c r="B2" s="557"/>
      <c r="C2" s="558" t="s">
        <v>644</v>
      </c>
      <c r="D2" s="558"/>
      <c r="E2" s="558"/>
      <c r="F2" s="558"/>
      <c r="G2" s="558"/>
      <c r="H2" s="554"/>
      <c r="I2" s="559" t="s">
        <v>645</v>
      </c>
      <c r="J2" s="560"/>
      <c r="K2" s="561" t="s">
        <v>646</v>
      </c>
      <c r="L2" s="561"/>
      <c r="M2" s="561"/>
      <c r="N2" s="562" t="s">
        <v>647</v>
      </c>
      <c r="O2" s="562"/>
      <c r="P2" s="562"/>
      <c r="Q2" s="555"/>
      <c r="R2" s="563" t="s">
        <v>630</v>
      </c>
      <c r="S2" s="555"/>
    </row>
    <row r="3" spans="1:23" ht="15" customHeight="1">
      <c r="A3" s="170"/>
      <c r="B3" s="170"/>
      <c r="C3" s="172">
        <v>40</v>
      </c>
      <c r="D3" s="173"/>
      <c r="E3" s="173"/>
      <c r="F3" s="173"/>
      <c r="G3" s="174"/>
      <c r="H3" s="166">
        <v>30</v>
      </c>
      <c r="I3" s="167"/>
      <c r="J3" s="168"/>
      <c r="K3" s="164">
        <v>15</v>
      </c>
      <c r="L3" s="165"/>
      <c r="M3" s="165"/>
      <c r="N3" s="161">
        <v>15</v>
      </c>
      <c r="O3" s="162"/>
      <c r="P3" s="163"/>
      <c r="Q3" s="169">
        <v>100</v>
      </c>
      <c r="R3" s="169"/>
      <c r="S3" s="169"/>
    </row>
    <row r="4" spans="1:23" ht="33" customHeight="1">
      <c r="A4" s="564" t="s">
        <v>0</v>
      </c>
      <c r="B4" s="564" t="s">
        <v>227</v>
      </c>
      <c r="C4" s="565" t="s">
        <v>654</v>
      </c>
      <c r="D4" s="566" t="s">
        <v>655</v>
      </c>
      <c r="E4" s="565" t="s">
        <v>611</v>
      </c>
      <c r="F4" s="566" t="s">
        <v>612</v>
      </c>
      <c r="G4" s="567" t="s">
        <v>626</v>
      </c>
      <c r="H4" s="568" t="s">
        <v>621</v>
      </c>
      <c r="I4" s="564" t="s">
        <v>568</v>
      </c>
      <c r="J4" s="564" t="s">
        <v>627</v>
      </c>
      <c r="K4" s="568" t="s">
        <v>622</v>
      </c>
      <c r="L4" s="564" t="s">
        <v>624</v>
      </c>
      <c r="M4" s="564" t="s">
        <v>628</v>
      </c>
      <c r="N4" s="569" t="s">
        <v>623</v>
      </c>
      <c r="O4" s="570" t="s">
        <v>625</v>
      </c>
      <c r="P4" s="571" t="s">
        <v>629</v>
      </c>
      <c r="Q4" s="564" t="s">
        <v>591</v>
      </c>
      <c r="R4" s="564" t="s">
        <v>545</v>
      </c>
      <c r="S4" s="564" t="s">
        <v>592</v>
      </c>
      <c r="U4" s="110"/>
      <c r="V4" s="110"/>
    </row>
    <row r="5" spans="1:23" ht="15.75">
      <c r="A5" s="572" t="s">
        <v>613</v>
      </c>
      <c r="B5" s="604" t="s">
        <v>469</v>
      </c>
      <c r="C5" s="573">
        <v>19.336070000000003</v>
      </c>
      <c r="D5" s="573">
        <v>29.747800000000002</v>
      </c>
      <c r="E5" s="574">
        <v>21.887713588283155</v>
      </c>
      <c r="F5" s="574">
        <v>0.24507392991204657</v>
      </c>
      <c r="G5" s="574">
        <f>F5*$C$3</f>
        <v>9.8029571964818629</v>
      </c>
      <c r="H5" s="575">
        <f>IACM_FATEC_MD20[[#This Row],[ICM]]*100</f>
        <v>70</v>
      </c>
      <c r="I5" s="575">
        <v>0.7</v>
      </c>
      <c r="J5" s="575">
        <f>IACM_FATEC_MD20[[#This Row],[ICM]]*$H$3</f>
        <v>21</v>
      </c>
      <c r="K5" s="576">
        <v>5.3867000000000003</v>
      </c>
      <c r="L5" s="576">
        <v>0.8</v>
      </c>
      <c r="M5" s="576">
        <f t="shared" ref="M5:M36" si="0">L5*$K$3</f>
        <v>12</v>
      </c>
      <c r="N5" s="577">
        <v>0.3768076807680768</v>
      </c>
      <c r="O5" s="577">
        <v>0</v>
      </c>
      <c r="P5" s="577">
        <f t="shared" ref="P5:P36" si="1">O5*$N$3</f>
        <v>0</v>
      </c>
      <c r="Q5" s="578">
        <f t="shared" ref="Q5:Q36" si="2">(IF(ISBLANK(G5),0,$C$3))+(IF(ISBLANK(J5),0,$H$3))+(IF(ISBLANK(M5),0,$K$3))+(IF(ISBLANK(P5),0,$N$3))</f>
        <v>100</v>
      </c>
      <c r="R5" s="579">
        <f>SUM(P5,M5,J5,G5)</f>
        <v>42.802957196481863</v>
      </c>
      <c r="S5" s="579">
        <f>R5/Q5</f>
        <v>0.42802957196481861</v>
      </c>
      <c r="U5" s="155" t="s">
        <v>723</v>
      </c>
      <c r="V5" s="155" t="s">
        <v>724</v>
      </c>
      <c r="W5" s="156" t="s">
        <v>636</v>
      </c>
    </row>
    <row r="6" spans="1:23" ht="15.75">
      <c r="A6" s="572" t="s">
        <v>614</v>
      </c>
      <c r="B6" s="604" t="s">
        <v>470</v>
      </c>
      <c r="C6" s="580">
        <v>22.547264999999999</v>
      </c>
      <c r="D6" s="580">
        <v>34.688099999999999</v>
      </c>
      <c r="E6" s="581">
        <v>33.880229696472519</v>
      </c>
      <c r="F6" s="581">
        <v>0.9334584232857559</v>
      </c>
      <c r="G6" s="581">
        <f t="shared" ref="G6:G69" si="3">F6*$C$3</f>
        <v>37.338336931430234</v>
      </c>
      <c r="H6" s="575">
        <f>IACM_FATEC_MD20[[#This Row],[ICM]]*100</f>
        <v>80</v>
      </c>
      <c r="I6" s="575">
        <v>0.8</v>
      </c>
      <c r="J6" s="575">
        <f>IACM_FATEC_MD20[[#This Row],[ICM]]*$H$3</f>
        <v>24</v>
      </c>
      <c r="K6" s="576">
        <v>5.9893999999999998</v>
      </c>
      <c r="L6" s="576">
        <v>0.8</v>
      </c>
      <c r="M6" s="576">
        <f t="shared" si="0"/>
        <v>12</v>
      </c>
      <c r="N6" s="577">
        <v>0</v>
      </c>
      <c r="O6" s="577">
        <v>0</v>
      </c>
      <c r="P6" s="577">
        <f t="shared" si="1"/>
        <v>0</v>
      </c>
      <c r="Q6" s="578">
        <f t="shared" si="2"/>
        <v>100</v>
      </c>
      <c r="R6" s="579">
        <f t="shared" ref="R6:R69" si="4">SUM(P6,M6,J6,G6)</f>
        <v>73.338336931430234</v>
      </c>
      <c r="S6" s="579">
        <f t="shared" ref="S6:S69" si="5">R6/Q6</f>
        <v>0.73338336931430237</v>
      </c>
      <c r="U6" s="153">
        <v>1</v>
      </c>
      <c r="V6" s="152">
        <f>COUNTIF(IACM_FATEC_MD20[IACM], "=1")</f>
        <v>1</v>
      </c>
      <c r="W6" s="154">
        <f>V6/$V$15</f>
        <v>1.2658227848101266E-2</v>
      </c>
    </row>
    <row r="7" spans="1:23" ht="15.75">
      <c r="A7" s="572" t="s">
        <v>615</v>
      </c>
      <c r="B7" s="604" t="s">
        <v>471</v>
      </c>
      <c r="C7" s="582">
        <v>30.110469999999999</v>
      </c>
      <c r="D7" s="582">
        <v>46.323799999999999</v>
      </c>
      <c r="E7" s="581">
        <v>42.073778664007975</v>
      </c>
      <c r="F7" s="581">
        <v>0.75</v>
      </c>
      <c r="G7" s="581">
        <f t="shared" si="3"/>
        <v>30</v>
      </c>
      <c r="H7" s="575">
        <f>IACM_FATEC_MD20[[#This Row],[ICM]]*100</f>
        <v>60</v>
      </c>
      <c r="I7" s="575">
        <v>0.6</v>
      </c>
      <c r="J7" s="575">
        <f>IACM_FATEC_MD20[[#This Row],[ICM]]*$H$3</f>
        <v>18</v>
      </c>
      <c r="K7" s="576">
        <v>6.8330000000000002</v>
      </c>
      <c r="L7" s="576">
        <v>0.9</v>
      </c>
      <c r="M7" s="576">
        <f t="shared" si="0"/>
        <v>13.5</v>
      </c>
      <c r="N7" s="577">
        <v>0.90105560511448113</v>
      </c>
      <c r="O7" s="577">
        <v>1</v>
      </c>
      <c r="P7" s="577">
        <f t="shared" si="1"/>
        <v>15</v>
      </c>
      <c r="Q7" s="578">
        <f t="shared" si="2"/>
        <v>100</v>
      </c>
      <c r="R7" s="579">
        <f t="shared" si="4"/>
        <v>76.5</v>
      </c>
      <c r="S7" s="579">
        <f t="shared" si="5"/>
        <v>0.76500000000000001</v>
      </c>
      <c r="U7" s="46" t="s">
        <v>725</v>
      </c>
      <c r="V7" s="152">
        <f>COUNTIFS(IACM_FATEC_MD20[IACM], "&gt;=0,9", IACM_FATEC_MD20[IACM], "&lt;1")</f>
        <v>10</v>
      </c>
      <c r="W7" s="154">
        <f t="shared" ref="W7:W15" si="6">V7/$V$15</f>
        <v>0.12658227848101267</v>
      </c>
    </row>
    <row r="8" spans="1:23" ht="15.75">
      <c r="A8" s="572" t="s">
        <v>616</v>
      </c>
      <c r="B8" s="604" t="s">
        <v>472</v>
      </c>
      <c r="C8" s="580">
        <v>33.090915000000003</v>
      </c>
      <c r="D8" s="580">
        <v>50.909100000000002</v>
      </c>
      <c r="E8" s="581">
        <v>50</v>
      </c>
      <c r="F8" s="581">
        <v>1</v>
      </c>
      <c r="G8" s="581">
        <f t="shared" si="3"/>
        <v>40</v>
      </c>
      <c r="H8" s="575">
        <f>IACM_FATEC_MD20[[#This Row],[ICM]]*100</f>
        <v>77.5</v>
      </c>
      <c r="I8" s="575">
        <v>0.77500000000000002</v>
      </c>
      <c r="J8" s="575">
        <f>IACM_FATEC_MD20[[#This Row],[ICM]]*$H$3</f>
        <v>23.25</v>
      </c>
      <c r="K8" s="576">
        <v>6.8802000000000003</v>
      </c>
      <c r="L8" s="576">
        <v>0.9</v>
      </c>
      <c r="M8" s="576">
        <f t="shared" si="0"/>
        <v>13.5</v>
      </c>
      <c r="N8" s="577">
        <v>0</v>
      </c>
      <c r="O8" s="577">
        <v>0</v>
      </c>
      <c r="P8" s="577">
        <f t="shared" si="1"/>
        <v>0</v>
      </c>
      <c r="Q8" s="578">
        <f t="shared" si="2"/>
        <v>100</v>
      </c>
      <c r="R8" s="579">
        <f t="shared" si="4"/>
        <v>76.75</v>
      </c>
      <c r="S8" s="579">
        <f t="shared" si="5"/>
        <v>0.76749999999999996</v>
      </c>
      <c r="U8" s="46" t="s">
        <v>726</v>
      </c>
      <c r="V8" s="152">
        <f>COUNTIFS(IACM_FATEC_MD20[IACM], "&gt;=0,8", IACM_FATEC_MD20[IACM], "&lt;0,9")</f>
        <v>14</v>
      </c>
      <c r="W8" s="154">
        <f t="shared" si="6"/>
        <v>0.17721518987341772</v>
      </c>
    </row>
    <row r="9" spans="1:23" ht="15.75">
      <c r="A9" s="572" t="s">
        <v>617</v>
      </c>
      <c r="B9" s="604" t="s">
        <v>473</v>
      </c>
      <c r="C9" s="582">
        <v>25.103194999999999</v>
      </c>
      <c r="D9" s="582">
        <v>38.6203</v>
      </c>
      <c r="E9" s="581">
        <v>32.463295269168022</v>
      </c>
      <c r="F9" s="581">
        <v>0.54450270743387885</v>
      </c>
      <c r="G9" s="581">
        <f t="shared" si="3"/>
        <v>21.780108297355156</v>
      </c>
      <c r="H9" s="575">
        <f>IACM_FATEC_MD20[[#This Row],[ICM]]*100</f>
        <v>68.569999999999993</v>
      </c>
      <c r="I9" s="575">
        <v>0.68569999999999998</v>
      </c>
      <c r="J9" s="575">
        <f>IACM_FATEC_MD20[[#This Row],[ICM]]*$H$3</f>
        <v>20.570999999999998</v>
      </c>
      <c r="K9" s="576">
        <v>6.218</v>
      </c>
      <c r="L9" s="576">
        <v>0.9</v>
      </c>
      <c r="M9" s="576">
        <f t="shared" si="0"/>
        <v>13.5</v>
      </c>
      <c r="N9" s="577">
        <v>0.80137275607180569</v>
      </c>
      <c r="O9" s="577">
        <v>1</v>
      </c>
      <c r="P9" s="577">
        <f t="shared" si="1"/>
        <v>15</v>
      </c>
      <c r="Q9" s="578">
        <f t="shared" si="2"/>
        <v>100</v>
      </c>
      <c r="R9" s="579">
        <f t="shared" si="4"/>
        <v>70.851108297355154</v>
      </c>
      <c r="S9" s="579">
        <f t="shared" si="5"/>
        <v>0.70851108297355159</v>
      </c>
      <c r="U9" s="46" t="s">
        <v>727</v>
      </c>
      <c r="V9" s="152">
        <f>COUNTIFS(IACM_FATEC_MD20[IACM], "&gt;=0,7", IACM_FATEC_MD20[IACM], "&lt;0,8")</f>
        <v>20</v>
      </c>
      <c r="W9" s="154">
        <f t="shared" si="6"/>
        <v>0.25316455696202533</v>
      </c>
    </row>
    <row r="10" spans="1:23" ht="15.75">
      <c r="A10" s="572" t="s">
        <v>618</v>
      </c>
      <c r="B10" s="604" t="s">
        <v>474</v>
      </c>
      <c r="C10" s="580">
        <v>23.775700000000004</v>
      </c>
      <c r="D10" s="580">
        <v>36.578000000000003</v>
      </c>
      <c r="E10" s="581">
        <v>33.133433283358322</v>
      </c>
      <c r="F10" s="581">
        <v>0.730941571698704</v>
      </c>
      <c r="G10" s="581">
        <f t="shared" si="3"/>
        <v>29.23766286794816</v>
      </c>
      <c r="H10" s="575">
        <f>IACM_FATEC_MD20[[#This Row],[ICM]]*100</f>
        <v>74.45</v>
      </c>
      <c r="I10" s="575">
        <v>0.74450000000000005</v>
      </c>
      <c r="J10" s="575">
        <f>IACM_FATEC_MD20[[#This Row],[ICM]]*$H$3</f>
        <v>22.335000000000001</v>
      </c>
      <c r="K10" s="576">
        <v>6.2256</v>
      </c>
      <c r="L10" s="576">
        <v>0.9</v>
      </c>
      <c r="M10" s="576">
        <f t="shared" si="0"/>
        <v>13.5</v>
      </c>
      <c r="N10" s="577">
        <v>0.4131644992014602</v>
      </c>
      <c r="O10" s="577">
        <v>0.5</v>
      </c>
      <c r="P10" s="577">
        <f t="shared" si="1"/>
        <v>7.5</v>
      </c>
      <c r="Q10" s="578">
        <f t="shared" si="2"/>
        <v>100</v>
      </c>
      <c r="R10" s="579">
        <f t="shared" si="4"/>
        <v>72.572662867948168</v>
      </c>
      <c r="S10" s="579">
        <f t="shared" si="5"/>
        <v>0.72572662867948168</v>
      </c>
      <c r="U10" s="46" t="s">
        <v>728</v>
      </c>
      <c r="V10" s="152">
        <f>COUNTIFS(IACM_FATEC_MD20[IACM], "&gt;=0,6", IACM_FATEC_MD20[IACM], "&lt;0,7")</f>
        <v>14</v>
      </c>
      <c r="W10" s="154">
        <f t="shared" si="6"/>
        <v>0.17721518987341772</v>
      </c>
    </row>
    <row r="11" spans="1:23" ht="15.75">
      <c r="A11" s="572" t="s">
        <v>619</v>
      </c>
      <c r="B11" s="604" t="s">
        <v>475</v>
      </c>
      <c r="C11" s="582">
        <v>22.751365</v>
      </c>
      <c r="D11" s="582">
        <v>35.002099999999999</v>
      </c>
      <c r="E11" s="581">
        <v>46.570972886762362</v>
      </c>
      <c r="F11" s="581">
        <v>1</v>
      </c>
      <c r="G11" s="581">
        <f t="shared" si="3"/>
        <v>40</v>
      </c>
      <c r="H11" s="575">
        <f>IACM_FATEC_MD20[[#This Row],[ICM]]*100</f>
        <v>76</v>
      </c>
      <c r="I11" s="575">
        <v>0.76</v>
      </c>
      <c r="J11" s="575">
        <f>IACM_FATEC_MD20[[#This Row],[ICM]]*$H$3</f>
        <v>22.8</v>
      </c>
      <c r="K11" s="576">
        <v>6.4279999999999999</v>
      </c>
      <c r="L11" s="576">
        <v>0.9</v>
      </c>
      <c r="M11" s="576">
        <f t="shared" si="0"/>
        <v>13.5</v>
      </c>
      <c r="N11" s="577">
        <v>0</v>
      </c>
      <c r="O11" s="577">
        <v>0</v>
      </c>
      <c r="P11" s="577">
        <f t="shared" si="1"/>
        <v>0</v>
      </c>
      <c r="Q11" s="578">
        <f t="shared" si="2"/>
        <v>100</v>
      </c>
      <c r="R11" s="579">
        <f t="shared" si="4"/>
        <v>76.3</v>
      </c>
      <c r="S11" s="579">
        <f t="shared" si="5"/>
        <v>0.76300000000000001</v>
      </c>
      <c r="U11" s="46" t="s">
        <v>729</v>
      </c>
      <c r="V11" s="152">
        <f>COUNTIFS(IACM_FATEC_MD20[IACM], "&gt;=0,5", IACM_FATEC_MD20[IACM], "&lt;0,6")</f>
        <v>10</v>
      </c>
      <c r="W11" s="154">
        <f t="shared" si="6"/>
        <v>0.12658227848101267</v>
      </c>
    </row>
    <row r="12" spans="1:23" ht="15.75">
      <c r="A12" s="572">
        <v>105</v>
      </c>
      <c r="B12" s="604" t="s">
        <v>476</v>
      </c>
      <c r="C12" s="580">
        <v>31.191550000000003</v>
      </c>
      <c r="D12" s="580">
        <v>47.987000000000002</v>
      </c>
      <c r="E12" s="581">
        <v>44.766505636070853</v>
      </c>
      <c r="F12" s="581">
        <v>1</v>
      </c>
      <c r="G12" s="581">
        <f t="shared" si="3"/>
        <v>40</v>
      </c>
      <c r="H12" s="575">
        <f>IACM_FATEC_MD20[[#This Row],[ICM]]*100</f>
        <v>76</v>
      </c>
      <c r="I12" s="575">
        <v>0.76</v>
      </c>
      <c r="J12" s="575">
        <f>IACM_FATEC_MD20[[#This Row],[ICM]]*$H$3</f>
        <v>22.8</v>
      </c>
      <c r="K12" s="576">
        <v>6.5212000000000003</v>
      </c>
      <c r="L12" s="576">
        <v>0.9</v>
      </c>
      <c r="M12" s="576">
        <f t="shared" si="0"/>
        <v>13.5</v>
      </c>
      <c r="N12" s="577">
        <v>0.81216931216931221</v>
      </c>
      <c r="O12" s="577">
        <v>1</v>
      </c>
      <c r="P12" s="577">
        <f t="shared" si="1"/>
        <v>15</v>
      </c>
      <c r="Q12" s="578">
        <f t="shared" si="2"/>
        <v>100</v>
      </c>
      <c r="R12" s="579">
        <f t="shared" si="4"/>
        <v>91.3</v>
      </c>
      <c r="S12" s="579">
        <f>R12/Q12</f>
        <v>0.91299999999999992</v>
      </c>
      <c r="U12" s="46" t="s">
        <v>730</v>
      </c>
      <c r="V12" s="152">
        <f>COUNTIFS(IACM_FATEC_MD20[IACM], "&gt;=0,4", IACM_FATEC_MD20[IACM], "&lt;0,5")</f>
        <v>6</v>
      </c>
      <c r="W12" s="154">
        <f t="shared" si="6"/>
        <v>7.5949367088607597E-2</v>
      </c>
    </row>
    <row r="13" spans="1:23" ht="15.75">
      <c r="A13" s="572">
        <v>106</v>
      </c>
      <c r="B13" s="604" t="s">
        <v>477</v>
      </c>
      <c r="C13" s="582">
        <v>31.508099999999999</v>
      </c>
      <c r="D13" s="582">
        <v>48.473999999999997</v>
      </c>
      <c r="E13" s="581">
        <v>47.343800000000002</v>
      </c>
      <c r="F13" s="581">
        <v>1</v>
      </c>
      <c r="G13" s="581">
        <f t="shared" si="3"/>
        <v>40</v>
      </c>
      <c r="H13" s="575">
        <f>IACM_FATEC_MD20[[#This Row],[ICM]]*100</f>
        <v>70</v>
      </c>
      <c r="I13" s="575">
        <v>0.7</v>
      </c>
      <c r="J13" s="575">
        <f>IACM_FATEC_MD20[[#This Row],[ICM]]*$H$3</f>
        <v>21</v>
      </c>
      <c r="K13" s="576">
        <v>6.35</v>
      </c>
      <c r="L13" s="576">
        <v>0.9</v>
      </c>
      <c r="M13" s="576">
        <f t="shared" si="0"/>
        <v>13.5</v>
      </c>
      <c r="N13" s="577">
        <v>0</v>
      </c>
      <c r="O13" s="577">
        <v>0</v>
      </c>
      <c r="P13" s="577">
        <f t="shared" si="1"/>
        <v>0</v>
      </c>
      <c r="Q13" s="578">
        <f t="shared" si="2"/>
        <v>100</v>
      </c>
      <c r="R13" s="579">
        <f t="shared" si="4"/>
        <v>74.5</v>
      </c>
      <c r="S13" s="579">
        <f t="shared" si="5"/>
        <v>0.745</v>
      </c>
      <c r="U13" s="46" t="s">
        <v>731</v>
      </c>
      <c r="V13" s="152">
        <f>COUNTIFS(IACM_FATEC_MD20[IACM], "&gt;=0",IACM_FATEC_MD20[IACM], "&lt;0,4")</f>
        <v>2</v>
      </c>
      <c r="W13" s="154">
        <f t="shared" si="6"/>
        <v>2.5316455696202531E-2</v>
      </c>
    </row>
    <row r="14" spans="1:23" ht="15.75">
      <c r="A14" s="572">
        <v>109</v>
      </c>
      <c r="B14" s="604" t="s">
        <v>478</v>
      </c>
      <c r="C14" s="580">
        <v>38.630670000000002</v>
      </c>
      <c r="D14" s="580">
        <v>59.431800000000003</v>
      </c>
      <c r="E14" s="581">
        <v>50.487012987012989</v>
      </c>
      <c r="F14" s="581">
        <v>0.95</v>
      </c>
      <c r="G14" s="581">
        <f t="shared" si="3"/>
        <v>38</v>
      </c>
      <c r="H14" s="575">
        <f>IACM_FATEC_MD20[[#This Row],[ICM]]*100</f>
        <v>56.67</v>
      </c>
      <c r="I14" s="575">
        <v>0.56669999999999998</v>
      </c>
      <c r="J14" s="575">
        <f>IACM_FATEC_MD20[[#This Row],[ICM]]*$H$3</f>
        <v>17.000999999999998</v>
      </c>
      <c r="K14" s="576">
        <v>6.1624999999999996</v>
      </c>
      <c r="L14" s="576">
        <v>0.9</v>
      </c>
      <c r="M14" s="576">
        <f t="shared" si="0"/>
        <v>13.5</v>
      </c>
      <c r="N14" s="577">
        <v>0</v>
      </c>
      <c r="O14" s="577">
        <v>0</v>
      </c>
      <c r="P14" s="577">
        <f t="shared" si="1"/>
        <v>0</v>
      </c>
      <c r="Q14" s="578">
        <f t="shared" si="2"/>
        <v>100</v>
      </c>
      <c r="R14" s="579">
        <f t="shared" si="4"/>
        <v>68.501000000000005</v>
      </c>
      <c r="S14" s="579">
        <f t="shared" si="5"/>
        <v>0.68501000000000001</v>
      </c>
      <c r="U14" s="46" t="s">
        <v>732</v>
      </c>
      <c r="V14" s="152">
        <f>COUNTIFS(IACM_FATEC_MD20[IACM], "")</f>
        <v>2</v>
      </c>
      <c r="W14" s="154">
        <f t="shared" si="6"/>
        <v>2.5316455696202531E-2</v>
      </c>
    </row>
    <row r="15" spans="1:23" ht="15.75">
      <c r="A15" s="572">
        <v>111</v>
      </c>
      <c r="B15" s="604" t="s">
        <v>479</v>
      </c>
      <c r="C15" s="582">
        <v>32.591325000000005</v>
      </c>
      <c r="D15" s="582">
        <v>50.140500000000003</v>
      </c>
      <c r="E15" s="581">
        <v>43.137254901960787</v>
      </c>
      <c r="F15" s="581">
        <v>0.75</v>
      </c>
      <c r="G15" s="581">
        <f t="shared" si="3"/>
        <v>30</v>
      </c>
      <c r="H15" s="575">
        <f>IACM_FATEC_MD20[[#This Row],[ICM]]*100</f>
        <v>74.550000000000011</v>
      </c>
      <c r="I15" s="575">
        <v>0.74550000000000005</v>
      </c>
      <c r="J15" s="575">
        <f>IACM_FATEC_MD20[[#This Row],[ICM]]*$H$3</f>
        <v>22.365000000000002</v>
      </c>
      <c r="K15" s="576">
        <v>6.4717000000000002</v>
      </c>
      <c r="L15" s="576">
        <v>0.9</v>
      </c>
      <c r="M15" s="576">
        <f t="shared" si="0"/>
        <v>13.5</v>
      </c>
      <c r="N15" s="577">
        <v>0.85586953137163324</v>
      </c>
      <c r="O15" s="577">
        <v>1</v>
      </c>
      <c r="P15" s="577">
        <f t="shared" si="1"/>
        <v>15</v>
      </c>
      <c r="Q15" s="578">
        <f t="shared" si="2"/>
        <v>100</v>
      </c>
      <c r="R15" s="579">
        <f t="shared" si="4"/>
        <v>80.865000000000009</v>
      </c>
      <c r="S15" s="579">
        <f t="shared" si="5"/>
        <v>0.80865000000000009</v>
      </c>
      <c r="U15" s="46" t="s">
        <v>733</v>
      </c>
      <c r="V15" s="152">
        <f>SUM(V6:V14)</f>
        <v>79</v>
      </c>
      <c r="W15" s="154">
        <f t="shared" si="6"/>
        <v>1</v>
      </c>
    </row>
    <row r="16" spans="1:23" ht="15.75">
      <c r="A16" s="572">
        <v>112</v>
      </c>
      <c r="B16" s="604" t="s">
        <v>480</v>
      </c>
      <c r="C16" s="580">
        <v>24.0656</v>
      </c>
      <c r="D16" s="580">
        <v>37.024000000000001</v>
      </c>
      <c r="E16" s="581">
        <v>30.711610486891384</v>
      </c>
      <c r="F16" s="581">
        <v>0.51287276877480126</v>
      </c>
      <c r="G16" s="581">
        <f t="shared" si="3"/>
        <v>20.514910750992051</v>
      </c>
      <c r="H16" s="575">
        <f>IACM_FATEC_MD20[[#This Row],[ICM]]*100</f>
        <v>60</v>
      </c>
      <c r="I16" s="575">
        <v>0.6</v>
      </c>
      <c r="J16" s="575">
        <f>IACM_FATEC_MD20[[#This Row],[ICM]]*$H$3</f>
        <v>18</v>
      </c>
      <c r="K16" s="576">
        <v>5.9432999999999998</v>
      </c>
      <c r="L16" s="576">
        <v>0.8</v>
      </c>
      <c r="M16" s="576">
        <f t="shared" si="0"/>
        <v>12</v>
      </c>
      <c r="N16" s="577">
        <v>0</v>
      </c>
      <c r="O16" s="577">
        <v>0</v>
      </c>
      <c r="P16" s="577">
        <f t="shared" si="1"/>
        <v>0</v>
      </c>
      <c r="Q16" s="578">
        <f t="shared" si="2"/>
        <v>100</v>
      </c>
      <c r="R16" s="579">
        <f t="shared" si="4"/>
        <v>50.514910750992051</v>
      </c>
      <c r="S16" s="579">
        <f t="shared" si="5"/>
        <v>0.50514910750992048</v>
      </c>
      <c r="U16" s="44"/>
      <c r="V16" s="137"/>
    </row>
    <row r="17" spans="1:31" ht="15.75">
      <c r="A17" s="572">
        <v>113</v>
      </c>
      <c r="B17" s="604" t="s">
        <v>481</v>
      </c>
      <c r="C17" s="582">
        <v>31.83466</v>
      </c>
      <c r="D17" s="582">
        <v>48.976399999999998</v>
      </c>
      <c r="E17" s="581">
        <v>49.285714285714292</v>
      </c>
      <c r="F17" s="581">
        <v>1</v>
      </c>
      <c r="G17" s="581">
        <f t="shared" si="3"/>
        <v>40</v>
      </c>
      <c r="H17" s="575">
        <f>IACM_FATEC_MD20[[#This Row],[ICM]]*100</f>
        <v>73.33</v>
      </c>
      <c r="I17" s="575">
        <v>0.73329999999999995</v>
      </c>
      <c r="J17" s="575">
        <f>IACM_FATEC_MD20[[#This Row],[ICM]]*$H$3</f>
        <v>21.998999999999999</v>
      </c>
      <c r="K17" s="576">
        <v>6.6707000000000001</v>
      </c>
      <c r="L17" s="576">
        <v>0.9</v>
      </c>
      <c r="M17" s="576">
        <f t="shared" si="0"/>
        <v>13.5</v>
      </c>
      <c r="N17" s="577">
        <v>0</v>
      </c>
      <c r="O17" s="577">
        <v>0</v>
      </c>
      <c r="P17" s="577">
        <f t="shared" si="1"/>
        <v>0</v>
      </c>
      <c r="Q17" s="578">
        <f t="shared" si="2"/>
        <v>100</v>
      </c>
      <c r="R17" s="579">
        <f t="shared" si="4"/>
        <v>75.498999999999995</v>
      </c>
      <c r="S17" s="579">
        <f t="shared" si="5"/>
        <v>0.75498999999999994</v>
      </c>
    </row>
    <row r="18" spans="1:31" ht="19.149999999999999" customHeight="1">
      <c r="A18" s="572">
        <v>114</v>
      </c>
      <c r="B18" s="604" t="s">
        <v>482</v>
      </c>
      <c r="C18" s="580">
        <v>31.840899999999998</v>
      </c>
      <c r="D18" s="580">
        <v>48.985999999999997</v>
      </c>
      <c r="E18" s="581">
        <v>43.973941368078172</v>
      </c>
      <c r="F18" s="581">
        <v>0.75</v>
      </c>
      <c r="G18" s="581">
        <f t="shared" si="3"/>
        <v>30</v>
      </c>
      <c r="H18" s="575">
        <f>IACM_FATEC_MD20[[#This Row],[ICM]]*100</f>
        <v>68.569999999999993</v>
      </c>
      <c r="I18" s="575">
        <v>0.68569999999999998</v>
      </c>
      <c r="J18" s="575">
        <f>IACM_FATEC_MD20[[#This Row],[ICM]]*$H$3</f>
        <v>20.570999999999998</v>
      </c>
      <c r="K18" s="576">
        <v>6.6349999999999998</v>
      </c>
      <c r="L18" s="576">
        <v>0.9</v>
      </c>
      <c r="M18" s="576">
        <f t="shared" si="0"/>
        <v>13.5</v>
      </c>
      <c r="N18" s="577">
        <v>0</v>
      </c>
      <c r="O18" s="577">
        <v>0</v>
      </c>
      <c r="P18" s="577">
        <f t="shared" si="1"/>
        <v>0</v>
      </c>
      <c r="Q18" s="578">
        <f t="shared" si="2"/>
        <v>100</v>
      </c>
      <c r="R18" s="579">
        <f t="shared" si="4"/>
        <v>64.070999999999998</v>
      </c>
      <c r="S18" s="579">
        <f t="shared" si="5"/>
        <v>0.64071</v>
      </c>
      <c r="U18" s="150"/>
      <c r="V18" s="151"/>
      <c r="X18" s="150"/>
      <c r="Y18" s="151"/>
      <c r="AA18" s="150"/>
      <c r="AB18" s="151"/>
    </row>
    <row r="19" spans="1:31" ht="15.75">
      <c r="A19" s="572">
        <v>119</v>
      </c>
      <c r="B19" s="604" t="s">
        <v>483</v>
      </c>
      <c r="C19" s="582">
        <v>29.151525000000003</v>
      </c>
      <c r="D19" s="582">
        <v>44.848500000000001</v>
      </c>
      <c r="E19" s="581">
        <v>35.789473684210527</v>
      </c>
      <c r="F19" s="581">
        <v>0.42288075786643764</v>
      </c>
      <c r="G19" s="581">
        <f t="shared" si="3"/>
        <v>16.915230314657506</v>
      </c>
      <c r="H19" s="575">
        <f>IACM_FATEC_MD20[[#This Row],[ICM]]*100</f>
        <v>90</v>
      </c>
      <c r="I19" s="575">
        <v>0.9</v>
      </c>
      <c r="J19" s="575">
        <f>IACM_FATEC_MD20[[#This Row],[ICM]]*$H$3</f>
        <v>27</v>
      </c>
      <c r="K19" s="576">
        <v>6.4574999999999996</v>
      </c>
      <c r="L19" s="576">
        <v>0.9</v>
      </c>
      <c r="M19" s="576">
        <f t="shared" si="0"/>
        <v>13.5</v>
      </c>
      <c r="N19" s="577">
        <v>0.67197943444730068</v>
      </c>
      <c r="O19" s="577">
        <v>0.7</v>
      </c>
      <c r="P19" s="577">
        <f t="shared" si="1"/>
        <v>10.5</v>
      </c>
      <c r="Q19" s="578">
        <f t="shared" si="2"/>
        <v>100</v>
      </c>
      <c r="R19" s="579">
        <f t="shared" si="4"/>
        <v>67.915230314657506</v>
      </c>
      <c r="S19" s="579">
        <f t="shared" si="5"/>
        <v>0.67915230314657504</v>
      </c>
      <c r="U19" s="111"/>
      <c r="V19" s="112"/>
      <c r="X19" s="111"/>
      <c r="Y19" s="112"/>
      <c r="AA19" s="111"/>
      <c r="AB19" s="112"/>
      <c r="AD19" s="111"/>
      <c r="AE19" s="112"/>
    </row>
    <row r="20" spans="1:31" ht="15.75">
      <c r="A20" s="572">
        <v>120</v>
      </c>
      <c r="B20" s="604" t="s">
        <v>484</v>
      </c>
      <c r="C20" s="580">
        <v>27.662504999999999</v>
      </c>
      <c r="D20" s="580">
        <v>42.557699999999997</v>
      </c>
      <c r="E20" s="581">
        <v>24.473684210526319</v>
      </c>
      <c r="F20" s="581">
        <v>0</v>
      </c>
      <c r="G20" s="581">
        <f t="shared" si="3"/>
        <v>0</v>
      </c>
      <c r="H20" s="575">
        <f>IACM_FATEC_MD20[[#This Row],[ICM]]*100</f>
        <v>80</v>
      </c>
      <c r="I20" s="575">
        <v>0.8</v>
      </c>
      <c r="J20" s="575">
        <f>IACM_FATEC_MD20[[#This Row],[ICM]]*$H$3</f>
        <v>24</v>
      </c>
      <c r="K20" s="576">
        <v>6.2058</v>
      </c>
      <c r="L20" s="576">
        <v>0.9</v>
      </c>
      <c r="M20" s="576">
        <f t="shared" si="0"/>
        <v>13.5</v>
      </c>
      <c r="N20" s="577">
        <v>0</v>
      </c>
      <c r="O20" s="577">
        <v>0</v>
      </c>
      <c r="P20" s="577">
        <f t="shared" si="1"/>
        <v>0</v>
      </c>
      <c r="Q20" s="578">
        <f t="shared" si="2"/>
        <v>100</v>
      </c>
      <c r="R20" s="579">
        <f t="shared" si="4"/>
        <v>37.5</v>
      </c>
      <c r="S20" s="579">
        <f t="shared" si="5"/>
        <v>0.375</v>
      </c>
      <c r="U20" s="113"/>
      <c r="V20" s="112"/>
      <c r="X20" s="113"/>
      <c r="Y20" s="112"/>
      <c r="AA20" s="113"/>
      <c r="AB20" s="112"/>
      <c r="AD20" s="113"/>
      <c r="AE20" s="112"/>
    </row>
    <row r="21" spans="1:31" ht="15.75">
      <c r="A21" s="572">
        <v>121</v>
      </c>
      <c r="B21" s="604" t="s">
        <v>485</v>
      </c>
      <c r="C21" s="582">
        <v>31.613660000000003</v>
      </c>
      <c r="D21" s="582">
        <v>48.636400000000002</v>
      </c>
      <c r="E21" s="581">
        <v>44.565217391304344</v>
      </c>
      <c r="F21" s="581">
        <v>1</v>
      </c>
      <c r="G21" s="581">
        <f t="shared" si="3"/>
        <v>40</v>
      </c>
      <c r="H21" s="575">
        <f>IACM_FATEC_MD20[[#This Row],[ICM]]*100</f>
        <v>73.33</v>
      </c>
      <c r="I21" s="575">
        <v>0.73329999999999995</v>
      </c>
      <c r="J21" s="575">
        <f>IACM_FATEC_MD20[[#This Row],[ICM]]*$H$3</f>
        <v>21.998999999999999</v>
      </c>
      <c r="K21" s="576">
        <v>6.5218999999999996</v>
      </c>
      <c r="L21" s="576">
        <v>0.9</v>
      </c>
      <c r="M21" s="576">
        <f t="shared" si="0"/>
        <v>13.5</v>
      </c>
      <c r="N21" s="577">
        <v>0.7959275206315034</v>
      </c>
      <c r="O21" s="577">
        <v>0.8</v>
      </c>
      <c r="P21" s="577">
        <f t="shared" si="1"/>
        <v>12</v>
      </c>
      <c r="Q21" s="578">
        <f t="shared" si="2"/>
        <v>100</v>
      </c>
      <c r="R21" s="579">
        <f t="shared" si="4"/>
        <v>87.498999999999995</v>
      </c>
      <c r="S21" s="579">
        <f t="shared" si="5"/>
        <v>0.87498999999999993</v>
      </c>
      <c r="U21" s="113"/>
      <c r="V21" s="112"/>
      <c r="X21" s="113"/>
      <c r="Y21" s="112"/>
      <c r="AA21" s="113"/>
      <c r="AB21" s="112"/>
      <c r="AD21" s="113"/>
      <c r="AE21" s="112"/>
    </row>
    <row r="22" spans="1:31" ht="15.75">
      <c r="A22" s="572">
        <v>126</v>
      </c>
      <c r="B22" s="604" t="s">
        <v>486</v>
      </c>
      <c r="C22" s="580">
        <v>42.287310000000005</v>
      </c>
      <c r="D22" s="580">
        <v>65.057400000000001</v>
      </c>
      <c r="E22" s="581">
        <v>50.108932461873636</v>
      </c>
      <c r="F22" s="581">
        <v>0.95</v>
      </c>
      <c r="G22" s="581">
        <f t="shared" si="3"/>
        <v>38</v>
      </c>
      <c r="H22" s="575">
        <f>IACM_FATEC_MD20[[#This Row],[ICM]]*100</f>
        <v>76.67</v>
      </c>
      <c r="I22" s="575">
        <v>0.76670000000000005</v>
      </c>
      <c r="J22" s="575">
        <f>IACM_FATEC_MD20[[#This Row],[ICM]]*$H$3</f>
        <v>23.001000000000001</v>
      </c>
      <c r="K22" s="576">
        <v>6.5407999999999999</v>
      </c>
      <c r="L22" s="576">
        <v>0.9</v>
      </c>
      <c r="M22" s="576">
        <f t="shared" si="0"/>
        <v>13.5</v>
      </c>
      <c r="N22" s="577">
        <v>0.60294659300184161</v>
      </c>
      <c r="O22" s="577">
        <v>0.7</v>
      </c>
      <c r="P22" s="577">
        <f t="shared" si="1"/>
        <v>10.5</v>
      </c>
      <c r="Q22" s="578">
        <f t="shared" si="2"/>
        <v>100</v>
      </c>
      <c r="R22" s="579">
        <f t="shared" si="4"/>
        <v>85.001000000000005</v>
      </c>
      <c r="S22" s="579">
        <f t="shared" si="5"/>
        <v>0.85001000000000004</v>
      </c>
      <c r="U22" s="113"/>
      <c r="V22" s="112"/>
      <c r="X22" s="113"/>
      <c r="Y22" s="112"/>
      <c r="AA22" s="113"/>
      <c r="AB22" s="112"/>
      <c r="AD22" s="113"/>
      <c r="AE22" s="112"/>
    </row>
    <row r="23" spans="1:31" ht="15.75">
      <c r="A23" s="572">
        <v>127</v>
      </c>
      <c r="B23" s="604" t="s">
        <v>487</v>
      </c>
      <c r="C23" s="582">
        <v>26.343070000000001</v>
      </c>
      <c r="D23" s="582">
        <v>40.527799999999999</v>
      </c>
      <c r="E23" s="581">
        <v>43.442622950819668</v>
      </c>
      <c r="F23" s="581">
        <v>1</v>
      </c>
      <c r="G23" s="581">
        <f t="shared" si="3"/>
        <v>40</v>
      </c>
      <c r="H23" s="575">
        <f>IACM_FATEC_MD20[[#This Row],[ICM]]*100</f>
        <v>60</v>
      </c>
      <c r="I23" s="575">
        <v>0.6</v>
      </c>
      <c r="J23" s="575">
        <f>IACM_FATEC_MD20[[#This Row],[ICM]]*$H$3</f>
        <v>18</v>
      </c>
      <c r="K23" s="576">
        <v>6.3399000000000001</v>
      </c>
      <c r="L23" s="576">
        <v>0.9</v>
      </c>
      <c r="M23" s="576">
        <f t="shared" si="0"/>
        <v>13.5</v>
      </c>
      <c r="N23" s="577">
        <v>0.83682170542635659</v>
      </c>
      <c r="O23" s="577">
        <v>1</v>
      </c>
      <c r="P23" s="577">
        <f t="shared" si="1"/>
        <v>15</v>
      </c>
      <c r="Q23" s="578">
        <f t="shared" si="2"/>
        <v>100</v>
      </c>
      <c r="R23" s="579">
        <f t="shared" si="4"/>
        <v>86.5</v>
      </c>
      <c r="S23" s="579">
        <f t="shared" si="5"/>
        <v>0.86499999999999999</v>
      </c>
      <c r="U23" s="113"/>
      <c r="V23" s="112"/>
      <c r="X23" s="113"/>
      <c r="Y23" s="112"/>
      <c r="AA23" s="113"/>
      <c r="AB23" s="112"/>
      <c r="AD23" s="113"/>
      <c r="AE23" s="112"/>
    </row>
    <row r="24" spans="1:31" ht="15.75">
      <c r="A24" s="572">
        <v>129</v>
      </c>
      <c r="B24" s="604" t="s">
        <v>488</v>
      </c>
      <c r="C24" s="580">
        <v>21.818875000000002</v>
      </c>
      <c r="D24" s="580">
        <v>33.567500000000003</v>
      </c>
      <c r="E24" s="581">
        <v>43.71345029239766</v>
      </c>
      <c r="F24" s="581">
        <v>1</v>
      </c>
      <c r="G24" s="581">
        <f t="shared" si="3"/>
        <v>40</v>
      </c>
      <c r="H24" s="575">
        <f>IACM_FATEC_MD20[[#This Row],[ICM]]*100</f>
        <v>64</v>
      </c>
      <c r="I24" s="575">
        <v>0.64</v>
      </c>
      <c r="J24" s="575">
        <f>IACM_FATEC_MD20[[#This Row],[ICM]]*$H$3</f>
        <v>19.2</v>
      </c>
      <c r="K24" s="576">
        <v>6.4295</v>
      </c>
      <c r="L24" s="576">
        <v>0.9</v>
      </c>
      <c r="M24" s="576">
        <f t="shared" si="0"/>
        <v>13.5</v>
      </c>
      <c r="N24" s="577">
        <v>0</v>
      </c>
      <c r="O24" s="577">
        <v>0</v>
      </c>
      <c r="P24" s="577">
        <f t="shared" si="1"/>
        <v>0</v>
      </c>
      <c r="Q24" s="578">
        <f t="shared" si="2"/>
        <v>100</v>
      </c>
      <c r="R24" s="579">
        <f t="shared" si="4"/>
        <v>72.7</v>
      </c>
      <c r="S24" s="579">
        <f t="shared" si="5"/>
        <v>0.72699999999999998</v>
      </c>
      <c r="U24" s="113"/>
      <c r="V24" s="112"/>
      <c r="X24" s="113"/>
      <c r="Y24" s="112"/>
      <c r="AA24" s="113"/>
      <c r="AB24" s="112"/>
      <c r="AD24" s="113"/>
      <c r="AE24" s="112"/>
    </row>
    <row r="25" spans="1:31" ht="15.75">
      <c r="A25" s="572">
        <v>130</v>
      </c>
      <c r="B25" s="604" t="s">
        <v>489</v>
      </c>
      <c r="C25" s="582">
        <v>29.643964999999998</v>
      </c>
      <c r="D25" s="582">
        <v>45.606099999999998</v>
      </c>
      <c r="E25" s="581">
        <v>32.441471571906355</v>
      </c>
      <c r="F25" s="581">
        <v>0.1752589219365929</v>
      </c>
      <c r="G25" s="581">
        <f t="shared" si="3"/>
        <v>7.0103568774637157</v>
      </c>
      <c r="H25" s="575">
        <f>IACM_FATEC_MD20[[#This Row],[ICM]]*100</f>
        <v>86.67</v>
      </c>
      <c r="I25" s="575">
        <v>0.86670000000000003</v>
      </c>
      <c r="J25" s="575">
        <f>IACM_FATEC_MD20[[#This Row],[ICM]]*$H$3</f>
        <v>26.001000000000001</v>
      </c>
      <c r="K25" s="576">
        <v>6.2534000000000001</v>
      </c>
      <c r="L25" s="576">
        <v>0.9</v>
      </c>
      <c r="M25" s="576">
        <f t="shared" si="0"/>
        <v>13.5</v>
      </c>
      <c r="N25" s="577">
        <v>0</v>
      </c>
      <c r="O25" s="577">
        <v>0</v>
      </c>
      <c r="P25" s="577">
        <f t="shared" si="1"/>
        <v>0</v>
      </c>
      <c r="Q25" s="578">
        <f t="shared" si="2"/>
        <v>100</v>
      </c>
      <c r="R25" s="579">
        <f t="shared" si="4"/>
        <v>46.511356877463719</v>
      </c>
      <c r="S25" s="579">
        <f t="shared" si="5"/>
        <v>0.46511356877463716</v>
      </c>
      <c r="U25" s="113"/>
      <c r="V25" s="112"/>
      <c r="X25" s="113"/>
      <c r="Y25" s="112"/>
      <c r="AA25" s="113"/>
      <c r="AB25" s="112"/>
      <c r="AD25" s="113"/>
      <c r="AE25" s="112"/>
    </row>
    <row r="26" spans="1:31" ht="15.75">
      <c r="A26" s="572">
        <v>131</v>
      </c>
      <c r="B26" s="604" t="s">
        <v>490</v>
      </c>
      <c r="C26" s="580">
        <v>21.001370000000001</v>
      </c>
      <c r="D26" s="580">
        <v>32.309800000000003</v>
      </c>
      <c r="E26" s="581">
        <v>33.387096774193544</v>
      </c>
      <c r="F26" s="581">
        <v>1</v>
      </c>
      <c r="G26" s="581">
        <f t="shared" si="3"/>
        <v>40</v>
      </c>
      <c r="H26" s="575">
        <f>IACM_FATEC_MD20[[#This Row],[ICM]]*100</f>
        <v>80</v>
      </c>
      <c r="I26" s="575">
        <v>0.8</v>
      </c>
      <c r="J26" s="575">
        <f>IACM_FATEC_MD20[[#This Row],[ICM]]*$H$3</f>
        <v>24</v>
      </c>
      <c r="K26" s="576">
        <v>6.0495000000000001</v>
      </c>
      <c r="L26" s="576">
        <v>0.9</v>
      </c>
      <c r="M26" s="576">
        <f t="shared" si="0"/>
        <v>13.5</v>
      </c>
      <c r="N26" s="577">
        <v>0</v>
      </c>
      <c r="O26" s="577">
        <v>0</v>
      </c>
      <c r="P26" s="577">
        <f t="shared" si="1"/>
        <v>0</v>
      </c>
      <c r="Q26" s="578">
        <f t="shared" si="2"/>
        <v>100</v>
      </c>
      <c r="R26" s="579">
        <f t="shared" si="4"/>
        <v>77.5</v>
      </c>
      <c r="S26" s="579">
        <f t="shared" si="5"/>
        <v>0.77500000000000002</v>
      </c>
      <c r="U26" s="113"/>
      <c r="V26" s="112"/>
      <c r="X26" s="113"/>
      <c r="Y26" s="112"/>
      <c r="AA26" s="113"/>
      <c r="AB26" s="112"/>
      <c r="AD26" s="113"/>
      <c r="AE26" s="112"/>
    </row>
    <row r="27" spans="1:31" ht="15.75">
      <c r="A27" s="572">
        <v>132</v>
      </c>
      <c r="B27" s="604" t="s">
        <v>491</v>
      </c>
      <c r="C27" s="582">
        <v>26.57161</v>
      </c>
      <c r="D27" s="582">
        <v>40.879399999999997</v>
      </c>
      <c r="E27" s="581">
        <v>41.022280471821752</v>
      </c>
      <c r="F27" s="581">
        <v>1</v>
      </c>
      <c r="G27" s="581">
        <f t="shared" si="3"/>
        <v>40</v>
      </c>
      <c r="H27" s="575">
        <f>IACM_FATEC_MD20[[#This Row],[ICM]]*100</f>
        <v>83.33</v>
      </c>
      <c r="I27" s="575">
        <v>0.83330000000000004</v>
      </c>
      <c r="J27" s="575">
        <f>IACM_FATEC_MD20[[#This Row],[ICM]]*$H$3</f>
        <v>24.999000000000002</v>
      </c>
      <c r="K27" s="576">
        <v>6.6200999999999999</v>
      </c>
      <c r="L27" s="576">
        <v>0.9</v>
      </c>
      <c r="M27" s="576">
        <f t="shared" si="0"/>
        <v>13.5</v>
      </c>
      <c r="N27" s="577">
        <v>0</v>
      </c>
      <c r="O27" s="577">
        <v>0</v>
      </c>
      <c r="P27" s="577">
        <f t="shared" si="1"/>
        <v>0</v>
      </c>
      <c r="Q27" s="578">
        <f t="shared" si="2"/>
        <v>100</v>
      </c>
      <c r="R27" s="579">
        <f t="shared" si="4"/>
        <v>78.498999999999995</v>
      </c>
      <c r="S27" s="579">
        <f t="shared" si="5"/>
        <v>0.78498999999999997</v>
      </c>
      <c r="U27" s="113"/>
      <c r="V27" s="112"/>
      <c r="X27" s="113"/>
      <c r="Y27" s="112"/>
      <c r="AA27" s="113"/>
      <c r="AB27" s="112"/>
      <c r="AD27" s="113"/>
      <c r="AE27" s="112"/>
    </row>
    <row r="28" spans="1:31" ht="15.75">
      <c r="A28" s="572">
        <v>133</v>
      </c>
      <c r="B28" s="604" t="s">
        <v>492</v>
      </c>
      <c r="C28" s="580">
        <v>24.385659999999998</v>
      </c>
      <c r="D28" s="580">
        <v>37.516399999999997</v>
      </c>
      <c r="E28" s="581">
        <v>26.490066225165563</v>
      </c>
      <c r="F28" s="581">
        <v>0.1602656228944877</v>
      </c>
      <c r="G28" s="581">
        <f t="shared" si="3"/>
        <v>6.4106249157795077</v>
      </c>
      <c r="H28" s="575">
        <f>IACM_FATEC_MD20[[#This Row],[ICM]]*100</f>
        <v>86.67</v>
      </c>
      <c r="I28" s="575">
        <v>0.86670000000000003</v>
      </c>
      <c r="J28" s="575">
        <f>IACM_FATEC_MD20[[#This Row],[ICM]]*$H$3</f>
        <v>26.001000000000001</v>
      </c>
      <c r="K28" s="576">
        <v>6.0545999999999998</v>
      </c>
      <c r="L28" s="576">
        <v>0.9</v>
      </c>
      <c r="M28" s="576">
        <f t="shared" si="0"/>
        <v>13.5</v>
      </c>
      <c r="N28" s="577">
        <v>0</v>
      </c>
      <c r="O28" s="577">
        <v>0</v>
      </c>
      <c r="P28" s="577">
        <f t="shared" si="1"/>
        <v>0</v>
      </c>
      <c r="Q28" s="578">
        <f t="shared" si="2"/>
        <v>100</v>
      </c>
      <c r="R28" s="579">
        <f t="shared" si="4"/>
        <v>45.911624915779512</v>
      </c>
      <c r="S28" s="579">
        <f t="shared" si="5"/>
        <v>0.45911624915779514</v>
      </c>
      <c r="U28" s="113"/>
      <c r="V28" s="112"/>
      <c r="X28" s="113"/>
      <c r="Y28" s="112"/>
      <c r="AA28" s="113"/>
      <c r="AB28" s="112"/>
      <c r="AD28" s="113"/>
      <c r="AE28" s="112"/>
    </row>
    <row r="29" spans="1:31" ht="15.75">
      <c r="A29" s="572">
        <v>137</v>
      </c>
      <c r="B29" s="604" t="s">
        <v>493</v>
      </c>
      <c r="C29" s="582">
        <v>40.235520000000001</v>
      </c>
      <c r="D29" s="582">
        <v>61.900799999999997</v>
      </c>
      <c r="E29" s="581">
        <v>50.174216027874564</v>
      </c>
      <c r="F29" s="581">
        <v>0.95</v>
      </c>
      <c r="G29" s="581">
        <f t="shared" si="3"/>
        <v>38</v>
      </c>
      <c r="H29" s="575">
        <f>IACM_FATEC_MD20[[#This Row],[ICM]]*100</f>
        <v>60</v>
      </c>
      <c r="I29" s="575">
        <v>0.6</v>
      </c>
      <c r="J29" s="575">
        <f>IACM_FATEC_MD20[[#This Row],[ICM]]*$H$3</f>
        <v>18</v>
      </c>
      <c r="K29" s="576">
        <v>5.5735999999999999</v>
      </c>
      <c r="L29" s="576">
        <v>0.8</v>
      </c>
      <c r="M29" s="576">
        <f t="shared" si="0"/>
        <v>12</v>
      </c>
      <c r="N29" s="577">
        <v>0.92338062924120901</v>
      </c>
      <c r="O29" s="577">
        <v>1</v>
      </c>
      <c r="P29" s="577">
        <f t="shared" si="1"/>
        <v>15</v>
      </c>
      <c r="Q29" s="578">
        <f t="shared" si="2"/>
        <v>100</v>
      </c>
      <c r="R29" s="579">
        <f t="shared" si="4"/>
        <v>83</v>
      </c>
      <c r="S29" s="579">
        <f t="shared" si="5"/>
        <v>0.83</v>
      </c>
      <c r="U29" s="114"/>
      <c r="V29" s="112"/>
      <c r="X29" s="114"/>
      <c r="Y29" s="112"/>
      <c r="AA29" s="114"/>
      <c r="AB29" s="112"/>
      <c r="AD29" s="114"/>
      <c r="AE29" s="112"/>
    </row>
    <row r="30" spans="1:31" ht="15.75">
      <c r="A30" s="572">
        <v>143</v>
      </c>
      <c r="B30" s="604" t="s">
        <v>494</v>
      </c>
      <c r="C30" s="580">
        <v>31.613660000000003</v>
      </c>
      <c r="D30" s="580">
        <v>48.636400000000002</v>
      </c>
      <c r="E30" s="581">
        <v>40.492476060191521</v>
      </c>
      <c r="F30" s="581">
        <v>0.75</v>
      </c>
      <c r="G30" s="581">
        <f t="shared" si="3"/>
        <v>30</v>
      </c>
      <c r="H30" s="575">
        <f>IACM_FATEC_MD20[[#This Row],[ICM]]*100</f>
        <v>82.86</v>
      </c>
      <c r="I30" s="575">
        <v>0.8286</v>
      </c>
      <c r="J30" s="575">
        <f>IACM_FATEC_MD20[[#This Row],[ICM]]*$H$3</f>
        <v>24.858000000000001</v>
      </c>
      <c r="K30" s="576">
        <v>6.3312999999999997</v>
      </c>
      <c r="L30" s="576">
        <v>0.9</v>
      </c>
      <c r="M30" s="576">
        <f t="shared" si="0"/>
        <v>13.5</v>
      </c>
      <c r="N30" s="577">
        <v>0</v>
      </c>
      <c r="O30" s="577">
        <v>0</v>
      </c>
      <c r="P30" s="577">
        <f t="shared" si="1"/>
        <v>0</v>
      </c>
      <c r="Q30" s="578">
        <f t="shared" si="2"/>
        <v>100</v>
      </c>
      <c r="R30" s="579">
        <f t="shared" si="4"/>
        <v>68.358000000000004</v>
      </c>
      <c r="S30" s="579">
        <f t="shared" si="5"/>
        <v>0.68358000000000008</v>
      </c>
      <c r="U30" s="159"/>
      <c r="V30" s="160"/>
      <c r="X30" s="159"/>
      <c r="Y30" s="160"/>
      <c r="AA30" s="159"/>
      <c r="AB30" s="160"/>
    </row>
    <row r="31" spans="1:31" ht="15.75">
      <c r="A31" s="572">
        <v>146</v>
      </c>
      <c r="B31" s="604" t="s">
        <v>495</v>
      </c>
      <c r="C31" s="582">
        <v>26.0715</v>
      </c>
      <c r="D31" s="582">
        <v>40.11</v>
      </c>
      <c r="E31" s="581">
        <v>36.729222520107243</v>
      </c>
      <c r="F31" s="581">
        <v>0.75917815436886016</v>
      </c>
      <c r="G31" s="581">
        <f t="shared" si="3"/>
        <v>30.367126174754407</v>
      </c>
      <c r="H31" s="575">
        <f>IACM_FATEC_MD20[[#This Row],[ICM]]*100</f>
        <v>76.67</v>
      </c>
      <c r="I31" s="575">
        <v>0.76670000000000005</v>
      </c>
      <c r="J31" s="575">
        <f>IACM_FATEC_MD20[[#This Row],[ICM]]*$H$3</f>
        <v>23.001000000000001</v>
      </c>
      <c r="K31" s="576">
        <v>6.4878999999999998</v>
      </c>
      <c r="L31" s="576">
        <v>0.9</v>
      </c>
      <c r="M31" s="576">
        <f t="shared" si="0"/>
        <v>13.5</v>
      </c>
      <c r="N31" s="577">
        <v>1</v>
      </c>
      <c r="O31" s="577">
        <v>1</v>
      </c>
      <c r="P31" s="577">
        <f t="shared" si="1"/>
        <v>15</v>
      </c>
      <c r="Q31" s="578">
        <f t="shared" si="2"/>
        <v>100</v>
      </c>
      <c r="R31" s="579">
        <f t="shared" si="4"/>
        <v>81.868126174754408</v>
      </c>
      <c r="S31" s="579">
        <f t="shared" si="5"/>
        <v>0.81868126174754408</v>
      </c>
      <c r="U31" s="159"/>
      <c r="V31" s="160"/>
      <c r="X31" s="159"/>
      <c r="Y31" s="160"/>
      <c r="AA31" s="159"/>
      <c r="AB31" s="160"/>
    </row>
    <row r="32" spans="1:31" ht="15.75">
      <c r="A32" s="572">
        <v>155</v>
      </c>
      <c r="B32" s="604" t="s">
        <v>496</v>
      </c>
      <c r="C32" s="580">
        <v>35.454574999999998</v>
      </c>
      <c r="D32" s="580">
        <v>54.545499999999997</v>
      </c>
      <c r="E32" s="581">
        <v>45.336225596529282</v>
      </c>
      <c r="F32" s="581">
        <v>0.75</v>
      </c>
      <c r="G32" s="581">
        <f t="shared" si="3"/>
        <v>30</v>
      </c>
      <c r="H32" s="575">
        <f>IACM_FATEC_MD20[[#This Row],[ICM]]*100</f>
        <v>60</v>
      </c>
      <c r="I32" s="575">
        <v>0.6</v>
      </c>
      <c r="J32" s="575">
        <f>IACM_FATEC_MD20[[#This Row],[ICM]]*$H$3</f>
        <v>18</v>
      </c>
      <c r="K32" s="576">
        <v>5.9238</v>
      </c>
      <c r="L32" s="576">
        <v>0.8</v>
      </c>
      <c r="M32" s="576">
        <f t="shared" si="0"/>
        <v>12</v>
      </c>
      <c r="N32" s="577">
        <v>0</v>
      </c>
      <c r="O32" s="577">
        <v>0</v>
      </c>
      <c r="P32" s="577">
        <f t="shared" si="1"/>
        <v>0</v>
      </c>
      <c r="Q32" s="578">
        <f t="shared" si="2"/>
        <v>100</v>
      </c>
      <c r="R32" s="579">
        <f t="shared" si="4"/>
        <v>60</v>
      </c>
      <c r="S32" s="579">
        <f t="shared" si="5"/>
        <v>0.6</v>
      </c>
    </row>
    <row r="33" spans="1:22" ht="15.75">
      <c r="A33" s="572">
        <v>157</v>
      </c>
      <c r="B33" s="604" t="s">
        <v>497</v>
      </c>
      <c r="C33" s="582">
        <v>29.028415000000003</v>
      </c>
      <c r="D33" s="582">
        <v>44.659100000000002</v>
      </c>
      <c r="E33" s="581">
        <v>38.139534883720934</v>
      </c>
      <c r="F33" s="581">
        <v>0.582899590371179</v>
      </c>
      <c r="G33" s="581">
        <f t="shared" si="3"/>
        <v>23.315983614847159</v>
      </c>
      <c r="H33" s="575">
        <f>IACM_FATEC_MD20[[#This Row],[ICM]]*100</f>
        <v>80</v>
      </c>
      <c r="I33" s="575">
        <v>0.8</v>
      </c>
      <c r="J33" s="575">
        <f>IACM_FATEC_MD20[[#This Row],[ICM]]*$H$3</f>
        <v>24</v>
      </c>
      <c r="K33" s="576">
        <v>6.7018000000000004</v>
      </c>
      <c r="L33" s="576">
        <v>0.9</v>
      </c>
      <c r="M33" s="576">
        <f t="shared" si="0"/>
        <v>13.5</v>
      </c>
      <c r="N33" s="577">
        <v>0.67625649913344887</v>
      </c>
      <c r="O33" s="577">
        <v>0.7</v>
      </c>
      <c r="P33" s="577">
        <f t="shared" si="1"/>
        <v>10.5</v>
      </c>
      <c r="Q33" s="578">
        <f t="shared" si="2"/>
        <v>100</v>
      </c>
      <c r="R33" s="579">
        <f t="shared" si="4"/>
        <v>71.315983614847156</v>
      </c>
      <c r="S33" s="579">
        <f t="shared" si="5"/>
        <v>0.71315983614847156</v>
      </c>
    </row>
    <row r="34" spans="1:22" ht="15.75">
      <c r="A34" s="572">
        <v>160</v>
      </c>
      <c r="B34" s="604" t="s">
        <v>498</v>
      </c>
      <c r="C34" s="580">
        <v>19.14133</v>
      </c>
      <c r="D34" s="580">
        <v>29.4482</v>
      </c>
      <c r="E34" s="581">
        <v>29.595015576323984</v>
      </c>
      <c r="F34" s="581">
        <v>1</v>
      </c>
      <c r="G34" s="581">
        <f t="shared" si="3"/>
        <v>40</v>
      </c>
      <c r="H34" s="575">
        <f>IACM_FATEC_MD20[[#This Row],[ICM]]*100</f>
        <v>80</v>
      </c>
      <c r="I34" s="575">
        <v>0.8</v>
      </c>
      <c r="J34" s="575">
        <f>IACM_FATEC_MD20[[#This Row],[ICM]]*$H$3</f>
        <v>24</v>
      </c>
      <c r="K34" s="576">
        <v>5.19</v>
      </c>
      <c r="L34" s="576">
        <v>0.8</v>
      </c>
      <c r="M34" s="576">
        <f t="shared" si="0"/>
        <v>12</v>
      </c>
      <c r="N34" s="577">
        <v>0</v>
      </c>
      <c r="O34" s="577">
        <v>0</v>
      </c>
      <c r="P34" s="577">
        <f t="shared" si="1"/>
        <v>0</v>
      </c>
      <c r="Q34" s="578">
        <f t="shared" si="2"/>
        <v>100</v>
      </c>
      <c r="R34" s="579">
        <f t="shared" si="4"/>
        <v>76</v>
      </c>
      <c r="S34" s="579">
        <f t="shared" si="5"/>
        <v>0.76</v>
      </c>
      <c r="U34" s="150"/>
      <c r="V34" s="150"/>
    </row>
    <row r="35" spans="1:22" ht="15.75">
      <c r="A35" s="572">
        <v>163</v>
      </c>
      <c r="B35" s="604" t="s">
        <v>499</v>
      </c>
      <c r="C35" s="582">
        <v>24.82883</v>
      </c>
      <c r="D35" s="582">
        <v>38.1982</v>
      </c>
      <c r="E35" s="581">
        <v>32.034632034632033</v>
      </c>
      <c r="F35" s="581">
        <v>0.5389784286493704</v>
      </c>
      <c r="G35" s="581">
        <f t="shared" si="3"/>
        <v>21.559137145974816</v>
      </c>
      <c r="H35" s="575">
        <f>IACM_FATEC_MD20[[#This Row],[ICM]]*100</f>
        <v>72</v>
      </c>
      <c r="I35" s="575">
        <v>0.72</v>
      </c>
      <c r="J35" s="575">
        <f>IACM_FATEC_MD20[[#This Row],[ICM]]*$H$3</f>
        <v>21.599999999999998</v>
      </c>
      <c r="K35" s="576">
        <v>6.1689999999999996</v>
      </c>
      <c r="L35" s="576">
        <v>0.9</v>
      </c>
      <c r="M35" s="576">
        <f t="shared" si="0"/>
        <v>13.5</v>
      </c>
      <c r="N35" s="577">
        <v>0.63007518796992479</v>
      </c>
      <c r="O35" s="577">
        <v>0.7</v>
      </c>
      <c r="P35" s="577">
        <f t="shared" si="1"/>
        <v>10.5</v>
      </c>
      <c r="Q35" s="578">
        <f t="shared" si="2"/>
        <v>100</v>
      </c>
      <c r="R35" s="579">
        <f t="shared" si="4"/>
        <v>67.15913714597481</v>
      </c>
      <c r="S35" s="579">
        <f t="shared" si="5"/>
        <v>0.67159137145974812</v>
      </c>
      <c r="U35" s="111"/>
      <c r="V35" s="112"/>
    </row>
    <row r="36" spans="1:22" ht="15.75">
      <c r="A36" s="572">
        <v>167</v>
      </c>
      <c r="B36" s="604" t="s">
        <v>500</v>
      </c>
      <c r="C36" s="580">
        <v>33.214024999999999</v>
      </c>
      <c r="D36" s="580">
        <v>51.098500000000001</v>
      </c>
      <c r="E36" s="581">
        <v>44.237918215613384</v>
      </c>
      <c r="F36" s="581">
        <v>0.75</v>
      </c>
      <c r="G36" s="581">
        <f t="shared" si="3"/>
        <v>30</v>
      </c>
      <c r="H36" s="575">
        <f>IACM_FATEC_MD20[[#This Row],[ICM]]*100</f>
        <v>76</v>
      </c>
      <c r="I36" s="575">
        <v>0.76</v>
      </c>
      <c r="J36" s="575">
        <f>IACM_FATEC_MD20[[#This Row],[ICM]]*$H$3</f>
        <v>22.8</v>
      </c>
      <c r="K36" s="576">
        <v>6.5471000000000004</v>
      </c>
      <c r="L36" s="576">
        <v>0.9</v>
      </c>
      <c r="M36" s="576">
        <f t="shared" si="0"/>
        <v>13.5</v>
      </c>
      <c r="N36" s="577">
        <v>0</v>
      </c>
      <c r="O36" s="577">
        <v>0</v>
      </c>
      <c r="P36" s="577">
        <f t="shared" si="1"/>
        <v>0</v>
      </c>
      <c r="Q36" s="578">
        <f t="shared" si="2"/>
        <v>100</v>
      </c>
      <c r="R36" s="579">
        <f t="shared" si="4"/>
        <v>66.3</v>
      </c>
      <c r="S36" s="579">
        <f t="shared" si="5"/>
        <v>0.66299999999999992</v>
      </c>
      <c r="U36" s="113"/>
      <c r="V36" s="112"/>
    </row>
    <row r="37" spans="1:22" ht="15.75">
      <c r="A37" s="572">
        <v>168</v>
      </c>
      <c r="B37" s="604" t="s">
        <v>501</v>
      </c>
      <c r="C37" s="582">
        <v>37.228425000000001</v>
      </c>
      <c r="D37" s="582">
        <v>57.274500000000003</v>
      </c>
      <c r="E37" s="581">
        <v>57.015985790408529</v>
      </c>
      <c r="F37" s="581">
        <v>1</v>
      </c>
      <c r="G37" s="581">
        <f t="shared" si="3"/>
        <v>40</v>
      </c>
      <c r="H37" s="575">
        <f>IACM_FATEC_MD20[[#This Row],[ICM]]*100</f>
        <v>83.33</v>
      </c>
      <c r="I37" s="575">
        <v>0.83330000000000004</v>
      </c>
      <c r="J37" s="575">
        <f>IACM_FATEC_MD20[[#This Row],[ICM]]*$H$3</f>
        <v>24.999000000000002</v>
      </c>
      <c r="K37" s="576">
        <v>6.7076000000000002</v>
      </c>
      <c r="L37" s="576">
        <v>0.9</v>
      </c>
      <c r="M37" s="576">
        <f t="shared" ref="M37:M68" si="7">L37*$K$3</f>
        <v>13.5</v>
      </c>
      <c r="N37" s="577">
        <v>1</v>
      </c>
      <c r="O37" s="577">
        <v>1</v>
      </c>
      <c r="P37" s="577">
        <f t="shared" ref="P37:P68" si="8">O37*$N$3</f>
        <v>15</v>
      </c>
      <c r="Q37" s="578">
        <f t="shared" ref="Q37:Q68" si="9">(IF(ISBLANK(G37),0,$C$3))+(IF(ISBLANK(J37),0,$H$3))+(IF(ISBLANK(M37),0,$K$3))+(IF(ISBLANK(P37),0,$N$3))</f>
        <v>100</v>
      </c>
      <c r="R37" s="579">
        <f t="shared" si="4"/>
        <v>93.498999999999995</v>
      </c>
      <c r="S37" s="579">
        <f t="shared" si="5"/>
        <v>0.93498999999999999</v>
      </c>
      <c r="U37" s="113"/>
      <c r="V37" s="112"/>
    </row>
    <row r="38" spans="1:22" ht="15.75">
      <c r="A38" s="572">
        <v>171</v>
      </c>
      <c r="B38" s="604" t="s">
        <v>502</v>
      </c>
      <c r="C38" s="580">
        <v>31.982925000000002</v>
      </c>
      <c r="D38" s="580">
        <v>49.204500000000003</v>
      </c>
      <c r="E38" s="581">
        <v>38.557213930348261</v>
      </c>
      <c r="F38" s="581">
        <v>0.38174725194114123</v>
      </c>
      <c r="G38" s="581">
        <f t="shared" si="3"/>
        <v>15.269890077645648</v>
      </c>
      <c r="H38" s="575">
        <f>IACM_FATEC_MD20[[#This Row],[ICM]]*100</f>
        <v>73.33</v>
      </c>
      <c r="I38" s="575">
        <v>0.73329999999999995</v>
      </c>
      <c r="J38" s="575">
        <f>IACM_FATEC_MD20[[#This Row],[ICM]]*$H$3</f>
        <v>21.998999999999999</v>
      </c>
      <c r="K38" s="576">
        <v>6.4558999999999997</v>
      </c>
      <c r="L38" s="576">
        <v>0.9</v>
      </c>
      <c r="M38" s="576">
        <f t="shared" si="7"/>
        <v>13.5</v>
      </c>
      <c r="N38" s="577">
        <v>0</v>
      </c>
      <c r="O38" s="577">
        <v>0</v>
      </c>
      <c r="P38" s="577">
        <f t="shared" si="8"/>
        <v>0</v>
      </c>
      <c r="Q38" s="578">
        <f t="shared" si="9"/>
        <v>100</v>
      </c>
      <c r="R38" s="579">
        <f t="shared" si="4"/>
        <v>50.768890077645644</v>
      </c>
      <c r="S38" s="579">
        <f t="shared" si="5"/>
        <v>0.50768890077645645</v>
      </c>
      <c r="U38" s="113"/>
      <c r="V38" s="112"/>
    </row>
    <row r="39" spans="1:22" ht="15.75">
      <c r="A39" s="572">
        <v>173</v>
      </c>
      <c r="B39" s="604" t="s">
        <v>503</v>
      </c>
      <c r="C39" s="582">
        <v>27.450995000000002</v>
      </c>
      <c r="D39" s="582">
        <v>42.232300000000002</v>
      </c>
      <c r="E39" s="581">
        <v>29.473684210526311</v>
      </c>
      <c r="F39" s="581">
        <v>0.13684104417886708</v>
      </c>
      <c r="G39" s="581">
        <f t="shared" si="3"/>
        <v>5.4736417671546835</v>
      </c>
      <c r="H39" s="575">
        <f>IACM_FATEC_MD20[[#This Row],[ICM]]*100</f>
        <v>75</v>
      </c>
      <c r="I39" s="575">
        <v>0.75</v>
      </c>
      <c r="J39" s="575">
        <f>IACM_FATEC_MD20[[#This Row],[ICM]]*$H$3</f>
        <v>22.5</v>
      </c>
      <c r="K39" s="576">
        <v>5.9410999999999996</v>
      </c>
      <c r="L39" s="576">
        <v>0.8</v>
      </c>
      <c r="M39" s="576">
        <f t="shared" si="7"/>
        <v>12</v>
      </c>
      <c r="N39" s="577">
        <v>0.98233618233618225</v>
      </c>
      <c r="O39" s="577">
        <v>1</v>
      </c>
      <c r="P39" s="577">
        <f t="shared" si="8"/>
        <v>15</v>
      </c>
      <c r="Q39" s="578">
        <f t="shared" si="9"/>
        <v>100</v>
      </c>
      <c r="R39" s="579">
        <f t="shared" si="4"/>
        <v>54.973641767154682</v>
      </c>
      <c r="S39" s="579">
        <f t="shared" si="5"/>
        <v>0.5497364176715468</v>
      </c>
      <c r="U39" s="113"/>
      <c r="V39" s="112"/>
    </row>
    <row r="40" spans="1:22" ht="15.75">
      <c r="A40" s="572">
        <v>174</v>
      </c>
      <c r="B40" s="604" t="s">
        <v>504</v>
      </c>
      <c r="C40" s="580">
        <v>17.294744999999999</v>
      </c>
      <c r="D40" s="580">
        <v>26.607299999999999</v>
      </c>
      <c r="E40" s="581">
        <v>29.5</v>
      </c>
      <c r="F40" s="581">
        <v>1</v>
      </c>
      <c r="G40" s="581">
        <f t="shared" si="3"/>
        <v>40</v>
      </c>
      <c r="H40" s="575">
        <f>IACM_FATEC_MD20[[#This Row],[ICM]]*100</f>
        <v>60</v>
      </c>
      <c r="I40" s="575">
        <v>0.6</v>
      </c>
      <c r="J40" s="575">
        <f>IACM_FATEC_MD20[[#This Row],[ICM]]*$H$3</f>
        <v>18</v>
      </c>
      <c r="K40" s="576">
        <v>5.2689000000000004</v>
      </c>
      <c r="L40" s="576">
        <v>0.8</v>
      </c>
      <c r="M40" s="576">
        <f t="shared" si="7"/>
        <v>12</v>
      </c>
      <c r="N40" s="577">
        <v>0</v>
      </c>
      <c r="O40" s="577">
        <v>0</v>
      </c>
      <c r="P40" s="577">
        <f t="shared" si="8"/>
        <v>0</v>
      </c>
      <c r="Q40" s="578">
        <f t="shared" si="9"/>
        <v>100</v>
      </c>
      <c r="R40" s="579">
        <f t="shared" si="4"/>
        <v>70</v>
      </c>
      <c r="S40" s="579">
        <f t="shared" si="5"/>
        <v>0.7</v>
      </c>
      <c r="U40" s="113"/>
      <c r="V40" s="112"/>
    </row>
    <row r="41" spans="1:22" ht="15.75">
      <c r="A41" s="572">
        <v>175</v>
      </c>
      <c r="B41" s="604" t="s">
        <v>505</v>
      </c>
      <c r="C41" s="582">
        <v>29.582410000000003</v>
      </c>
      <c r="D41" s="582">
        <v>45.511400000000002</v>
      </c>
      <c r="E41" s="581">
        <v>36.17647058823529</v>
      </c>
      <c r="F41" s="581">
        <v>0.41396601970591279</v>
      </c>
      <c r="G41" s="581">
        <f t="shared" si="3"/>
        <v>16.558640788236513</v>
      </c>
      <c r="H41" s="575">
        <f>IACM_FATEC_MD20[[#This Row],[ICM]]*100</f>
        <v>75</v>
      </c>
      <c r="I41" s="575">
        <v>0.75</v>
      </c>
      <c r="J41" s="575">
        <f>IACM_FATEC_MD20[[#This Row],[ICM]]*$H$3</f>
        <v>22.5</v>
      </c>
      <c r="K41" s="576">
        <v>6.3017000000000003</v>
      </c>
      <c r="L41" s="576">
        <v>0.9</v>
      </c>
      <c r="M41" s="576">
        <f t="shared" si="7"/>
        <v>13.5</v>
      </c>
      <c r="N41" s="577">
        <v>0.36349206349206348</v>
      </c>
      <c r="O41" s="577">
        <v>0</v>
      </c>
      <c r="P41" s="577">
        <f t="shared" si="8"/>
        <v>0</v>
      </c>
      <c r="Q41" s="578">
        <f t="shared" si="9"/>
        <v>100</v>
      </c>
      <c r="R41" s="579">
        <f t="shared" si="4"/>
        <v>52.558640788236517</v>
      </c>
      <c r="S41" s="579">
        <f t="shared" si="5"/>
        <v>0.52558640788236521</v>
      </c>
      <c r="U41" s="113"/>
      <c r="V41" s="112"/>
    </row>
    <row r="42" spans="1:22" ht="15.75">
      <c r="A42" s="572">
        <v>176</v>
      </c>
      <c r="B42" s="604" t="s">
        <v>506</v>
      </c>
      <c r="C42" s="580">
        <v>24.371945</v>
      </c>
      <c r="D42" s="580">
        <v>37.4953</v>
      </c>
      <c r="E42" s="581">
        <v>29.345794392523366</v>
      </c>
      <c r="F42" s="581">
        <v>0.37900745598388264</v>
      </c>
      <c r="G42" s="581">
        <f t="shared" si="3"/>
        <v>15.160298239355306</v>
      </c>
      <c r="H42" s="575">
        <f>IACM_FATEC_MD20[[#This Row],[ICM]]*100</f>
        <v>88</v>
      </c>
      <c r="I42" s="575">
        <v>0.88</v>
      </c>
      <c r="J42" s="575">
        <f>IACM_FATEC_MD20[[#This Row],[ICM]]*$H$3</f>
        <v>26.4</v>
      </c>
      <c r="K42" s="576">
        <v>5.7176</v>
      </c>
      <c r="L42" s="576">
        <v>0.8</v>
      </c>
      <c r="M42" s="576">
        <f t="shared" si="7"/>
        <v>12</v>
      </c>
      <c r="N42" s="577">
        <v>0.90015015015015021</v>
      </c>
      <c r="O42" s="577">
        <v>1</v>
      </c>
      <c r="P42" s="577">
        <f t="shared" si="8"/>
        <v>15</v>
      </c>
      <c r="Q42" s="578">
        <f t="shared" si="9"/>
        <v>100</v>
      </c>
      <c r="R42" s="579">
        <f t="shared" si="4"/>
        <v>68.560298239355305</v>
      </c>
      <c r="S42" s="579">
        <f t="shared" si="5"/>
        <v>0.685602982393553</v>
      </c>
      <c r="U42" s="113"/>
      <c r="V42" s="112"/>
    </row>
    <row r="43" spans="1:22" ht="15.75">
      <c r="A43" s="572">
        <v>177</v>
      </c>
      <c r="B43" s="604" t="s">
        <v>507</v>
      </c>
      <c r="C43" s="582">
        <v>23.942490000000003</v>
      </c>
      <c r="D43" s="582">
        <v>36.834600000000002</v>
      </c>
      <c r="E43" s="581">
        <v>32.126696832579185</v>
      </c>
      <c r="F43" s="581">
        <v>0.63482291359437537</v>
      </c>
      <c r="G43" s="581">
        <f t="shared" si="3"/>
        <v>25.392916543775016</v>
      </c>
      <c r="H43" s="575">
        <f>IACM_FATEC_MD20[[#This Row],[ICM]]*100</f>
        <v>66.67</v>
      </c>
      <c r="I43" s="575">
        <v>0.66669999999999996</v>
      </c>
      <c r="J43" s="575">
        <f>IACM_FATEC_MD20[[#This Row],[ICM]]*$H$3</f>
        <v>20.000999999999998</v>
      </c>
      <c r="K43" s="576">
        <v>6.0884999999999998</v>
      </c>
      <c r="L43" s="576">
        <v>0.9</v>
      </c>
      <c r="M43" s="576">
        <f t="shared" si="7"/>
        <v>13.5</v>
      </c>
      <c r="N43" s="577">
        <v>0.5</v>
      </c>
      <c r="O43" s="577">
        <v>0.6</v>
      </c>
      <c r="P43" s="577">
        <f t="shared" si="8"/>
        <v>9</v>
      </c>
      <c r="Q43" s="578">
        <f t="shared" si="9"/>
        <v>100</v>
      </c>
      <c r="R43" s="579">
        <f t="shared" si="4"/>
        <v>67.893916543775021</v>
      </c>
      <c r="S43" s="579">
        <f t="shared" si="5"/>
        <v>0.67893916543775024</v>
      </c>
      <c r="U43" s="113"/>
      <c r="V43" s="112"/>
    </row>
    <row r="44" spans="1:22" ht="15.75">
      <c r="A44" s="572">
        <v>178</v>
      </c>
      <c r="B44" s="604" t="s">
        <v>508</v>
      </c>
      <c r="C44" s="580">
        <v>22.022000000000002</v>
      </c>
      <c r="D44" s="580">
        <v>33.880000000000003</v>
      </c>
      <c r="E44" s="581">
        <v>39.004149377593365</v>
      </c>
      <c r="F44" s="581">
        <v>1</v>
      </c>
      <c r="G44" s="581">
        <f t="shared" si="3"/>
        <v>40</v>
      </c>
      <c r="H44" s="575">
        <f>IACM_FATEC_MD20[[#This Row],[ICM]]*100</f>
        <v>72</v>
      </c>
      <c r="I44" s="575">
        <v>0.72</v>
      </c>
      <c r="J44" s="575">
        <f>IACM_FATEC_MD20[[#This Row],[ICM]]*$H$3</f>
        <v>21.599999999999998</v>
      </c>
      <c r="K44" s="576">
        <v>6.5518000000000001</v>
      </c>
      <c r="L44" s="576">
        <v>0.9</v>
      </c>
      <c r="M44" s="576">
        <f t="shared" si="7"/>
        <v>13.5</v>
      </c>
      <c r="N44" s="577">
        <v>0</v>
      </c>
      <c r="O44" s="577">
        <v>0</v>
      </c>
      <c r="P44" s="577">
        <f t="shared" si="8"/>
        <v>0</v>
      </c>
      <c r="Q44" s="578">
        <f t="shared" si="9"/>
        <v>100</v>
      </c>
      <c r="R44" s="579">
        <f t="shared" si="4"/>
        <v>75.099999999999994</v>
      </c>
      <c r="S44" s="579">
        <f t="shared" si="5"/>
        <v>0.75099999999999989</v>
      </c>
      <c r="U44" s="113"/>
      <c r="V44" s="112"/>
    </row>
    <row r="45" spans="1:22" ht="15.75">
      <c r="A45" s="572">
        <v>182</v>
      </c>
      <c r="B45" s="604" t="s">
        <v>509</v>
      </c>
      <c r="C45" s="582">
        <v>29.767074999999998</v>
      </c>
      <c r="D45" s="582">
        <v>45.795499999999997</v>
      </c>
      <c r="E45" s="581">
        <v>44.794952681388011</v>
      </c>
      <c r="F45" s="581">
        <v>1</v>
      </c>
      <c r="G45" s="581">
        <f t="shared" si="3"/>
        <v>40</v>
      </c>
      <c r="H45" s="575">
        <f>IACM_FATEC_MD20[[#This Row],[ICM]]*100</f>
        <v>73.33</v>
      </c>
      <c r="I45" s="575">
        <v>0.73329999999999995</v>
      </c>
      <c r="J45" s="575">
        <f>IACM_FATEC_MD20[[#This Row],[ICM]]*$H$3</f>
        <v>21.998999999999999</v>
      </c>
      <c r="K45" s="576">
        <v>7.0187999999999997</v>
      </c>
      <c r="L45" s="576">
        <v>1</v>
      </c>
      <c r="M45" s="576">
        <f t="shared" si="7"/>
        <v>15</v>
      </c>
      <c r="N45" s="577">
        <v>1</v>
      </c>
      <c r="O45" s="577">
        <v>1</v>
      </c>
      <c r="P45" s="577">
        <f t="shared" si="8"/>
        <v>15</v>
      </c>
      <c r="Q45" s="578">
        <f t="shared" si="9"/>
        <v>100</v>
      </c>
      <c r="R45" s="579">
        <f t="shared" si="4"/>
        <v>91.998999999999995</v>
      </c>
      <c r="S45" s="579">
        <f t="shared" si="5"/>
        <v>0.91998999999999997</v>
      </c>
      <c r="U45" s="114"/>
      <c r="V45" s="112"/>
    </row>
    <row r="46" spans="1:22" ht="15.75">
      <c r="A46" s="572">
        <v>183</v>
      </c>
      <c r="B46" s="604" t="s">
        <v>510</v>
      </c>
      <c r="C46" s="580">
        <v>25.567490000000003</v>
      </c>
      <c r="D46" s="580">
        <v>39.334600000000002</v>
      </c>
      <c r="E46" s="581">
        <v>38.616071428571431</v>
      </c>
      <c r="F46" s="581">
        <v>0.94780832204953902</v>
      </c>
      <c r="G46" s="581">
        <f t="shared" si="3"/>
        <v>37.912332881981563</v>
      </c>
      <c r="H46" s="575">
        <f>IACM_FATEC_MD20[[#This Row],[ICM]]*100</f>
        <v>84</v>
      </c>
      <c r="I46" s="575">
        <v>0.84</v>
      </c>
      <c r="J46" s="575">
        <f>IACM_FATEC_MD20[[#This Row],[ICM]]*$H$3</f>
        <v>25.2</v>
      </c>
      <c r="K46" s="576">
        <v>6.3208000000000002</v>
      </c>
      <c r="L46" s="576">
        <v>0.9</v>
      </c>
      <c r="M46" s="576">
        <f t="shared" si="7"/>
        <v>13.5</v>
      </c>
      <c r="N46" s="577">
        <v>0.73748906386701663</v>
      </c>
      <c r="O46" s="577">
        <v>0.8</v>
      </c>
      <c r="P46" s="577">
        <f t="shared" si="8"/>
        <v>12</v>
      </c>
      <c r="Q46" s="578">
        <f t="shared" si="9"/>
        <v>100</v>
      </c>
      <c r="R46" s="579">
        <f t="shared" si="4"/>
        <v>88.612332881981558</v>
      </c>
      <c r="S46" s="579">
        <f t="shared" si="5"/>
        <v>0.88612332881981559</v>
      </c>
      <c r="U46" s="159"/>
      <c r="V46" s="160"/>
    </row>
    <row r="47" spans="1:22" ht="15.75">
      <c r="A47" s="572">
        <v>184</v>
      </c>
      <c r="B47" s="604" t="s">
        <v>511</v>
      </c>
      <c r="C47" s="582">
        <v>23.20383</v>
      </c>
      <c r="D47" s="582">
        <v>35.6982</v>
      </c>
      <c r="E47" s="581">
        <v>40.74074074074074</v>
      </c>
      <c r="F47" s="581">
        <v>1</v>
      </c>
      <c r="G47" s="581">
        <f t="shared" si="3"/>
        <v>40</v>
      </c>
      <c r="H47" s="575">
        <f>IACM_FATEC_MD20[[#This Row],[ICM]]*100</f>
        <v>68</v>
      </c>
      <c r="I47" s="575">
        <v>0.68</v>
      </c>
      <c r="J47" s="575">
        <f>IACM_FATEC_MD20[[#This Row],[ICM]]*$H$3</f>
        <v>20.400000000000002</v>
      </c>
      <c r="K47" s="576">
        <v>6.3703000000000003</v>
      </c>
      <c r="L47" s="576">
        <v>0.9</v>
      </c>
      <c r="M47" s="576">
        <f t="shared" si="7"/>
        <v>13.5</v>
      </c>
      <c r="N47" s="577">
        <v>0.87383279044516815</v>
      </c>
      <c r="O47" s="577">
        <v>1</v>
      </c>
      <c r="P47" s="577">
        <f t="shared" si="8"/>
        <v>15</v>
      </c>
      <c r="Q47" s="578">
        <f t="shared" si="9"/>
        <v>100</v>
      </c>
      <c r="R47" s="579">
        <f t="shared" si="4"/>
        <v>88.9</v>
      </c>
      <c r="S47" s="579">
        <f t="shared" si="5"/>
        <v>0.88900000000000001</v>
      </c>
      <c r="U47" s="159"/>
      <c r="V47" s="160"/>
    </row>
    <row r="48" spans="1:22" ht="15.75">
      <c r="A48" s="572">
        <v>189</v>
      </c>
      <c r="B48" s="604" t="s">
        <v>512</v>
      </c>
      <c r="C48" s="580">
        <v>23.942490000000003</v>
      </c>
      <c r="D48" s="580">
        <v>36.834600000000002</v>
      </c>
      <c r="E48" s="581">
        <v>29.941860465116278</v>
      </c>
      <c r="F48" s="581">
        <v>0.46535210024707169</v>
      </c>
      <c r="G48" s="581">
        <f t="shared" si="3"/>
        <v>18.614084009882866</v>
      </c>
      <c r="H48" s="575">
        <f>IACM_FATEC_MD20[[#This Row],[ICM]]*100</f>
        <v>70</v>
      </c>
      <c r="I48" s="575">
        <v>0.7</v>
      </c>
      <c r="J48" s="575">
        <f>IACM_FATEC_MD20[[#This Row],[ICM]]*$H$3</f>
        <v>21</v>
      </c>
      <c r="K48" s="576">
        <v>5.7850000000000001</v>
      </c>
      <c r="L48" s="576">
        <v>0.8</v>
      </c>
      <c r="M48" s="576">
        <f t="shared" si="7"/>
        <v>12</v>
      </c>
      <c r="N48" s="577">
        <v>0.43502109704641351</v>
      </c>
      <c r="O48" s="577">
        <v>0.5</v>
      </c>
      <c r="P48" s="577">
        <f t="shared" si="8"/>
        <v>7.5</v>
      </c>
      <c r="Q48" s="578">
        <f t="shared" si="9"/>
        <v>100</v>
      </c>
      <c r="R48" s="579">
        <f t="shared" si="4"/>
        <v>59.114084009882866</v>
      </c>
      <c r="S48" s="579">
        <f t="shared" si="5"/>
        <v>0.59114084009882861</v>
      </c>
    </row>
    <row r="49" spans="1:19" ht="15.75">
      <c r="A49" s="572">
        <v>192</v>
      </c>
      <c r="B49" s="604" t="s">
        <v>513</v>
      </c>
      <c r="C49" s="582">
        <v>22.465235000000003</v>
      </c>
      <c r="D49" s="582">
        <v>34.561900000000001</v>
      </c>
      <c r="E49" s="581">
        <v>29.15766738660907</v>
      </c>
      <c r="F49" s="581">
        <v>0.55324607126088621</v>
      </c>
      <c r="G49" s="581">
        <f t="shared" si="3"/>
        <v>22.129842850435448</v>
      </c>
      <c r="H49" s="575">
        <f>IACM_FATEC_MD20[[#This Row],[ICM]]*100</f>
        <v>63.33</v>
      </c>
      <c r="I49" s="575">
        <v>0.63329999999999997</v>
      </c>
      <c r="J49" s="575">
        <f>IACM_FATEC_MD20[[#This Row],[ICM]]*$H$3</f>
        <v>18.998999999999999</v>
      </c>
      <c r="K49" s="576">
        <v>6.2060000000000004</v>
      </c>
      <c r="L49" s="576">
        <v>0.9</v>
      </c>
      <c r="M49" s="576">
        <f t="shared" si="7"/>
        <v>13.5</v>
      </c>
      <c r="N49" s="577">
        <v>0.8988950276243094</v>
      </c>
      <c r="O49" s="577">
        <v>1</v>
      </c>
      <c r="P49" s="577">
        <f t="shared" si="8"/>
        <v>15</v>
      </c>
      <c r="Q49" s="578">
        <f t="shared" si="9"/>
        <v>100</v>
      </c>
      <c r="R49" s="579">
        <f t="shared" si="4"/>
        <v>69.628842850435447</v>
      </c>
      <c r="S49" s="579">
        <f t="shared" si="5"/>
        <v>0.69628842850435446</v>
      </c>
    </row>
    <row r="50" spans="1:19" ht="15.75">
      <c r="A50" s="572">
        <v>196</v>
      </c>
      <c r="B50" s="604" t="s">
        <v>514</v>
      </c>
      <c r="C50" s="580">
        <v>22.054825000000001</v>
      </c>
      <c r="D50" s="580">
        <v>33.930500000000002</v>
      </c>
      <c r="E50" s="581">
        <v>33.333333333333329</v>
      </c>
      <c r="F50" s="581">
        <v>0.94971513899911597</v>
      </c>
      <c r="G50" s="581">
        <f t="shared" si="3"/>
        <v>37.98860555996464</v>
      </c>
      <c r="H50" s="575">
        <f>IACM_FATEC_MD20[[#This Row],[ICM]]*100</f>
        <v>73.33</v>
      </c>
      <c r="I50" s="575">
        <v>0.73329999999999995</v>
      </c>
      <c r="J50" s="575">
        <f>IACM_FATEC_MD20[[#This Row],[ICM]]*$H$3</f>
        <v>21.998999999999999</v>
      </c>
      <c r="K50" s="576">
        <v>6.2068000000000003</v>
      </c>
      <c r="L50" s="576">
        <v>0.9</v>
      </c>
      <c r="M50" s="576">
        <f t="shared" si="7"/>
        <v>13.5</v>
      </c>
      <c r="N50" s="577">
        <v>0</v>
      </c>
      <c r="O50" s="577">
        <v>0</v>
      </c>
      <c r="P50" s="577">
        <f t="shared" si="8"/>
        <v>0</v>
      </c>
      <c r="Q50" s="578">
        <f t="shared" si="9"/>
        <v>100</v>
      </c>
      <c r="R50" s="579">
        <f t="shared" si="4"/>
        <v>73.487605559964635</v>
      </c>
      <c r="S50" s="579">
        <f t="shared" si="5"/>
        <v>0.73487605559964631</v>
      </c>
    </row>
    <row r="51" spans="1:19" ht="15.75">
      <c r="A51" s="572">
        <v>204</v>
      </c>
      <c r="B51" s="604" t="s">
        <v>515</v>
      </c>
      <c r="C51" s="582">
        <v>35.553050000000006</v>
      </c>
      <c r="D51" s="582">
        <v>54.697000000000003</v>
      </c>
      <c r="E51" s="581">
        <v>46.58385093167702</v>
      </c>
      <c r="F51" s="581">
        <v>0.75</v>
      </c>
      <c r="G51" s="581">
        <f t="shared" si="3"/>
        <v>30</v>
      </c>
      <c r="H51" s="575">
        <f>IACM_FATEC_MD20[[#This Row],[ICM]]*100</f>
        <v>73.33</v>
      </c>
      <c r="I51" s="575">
        <v>0.73329999999999995</v>
      </c>
      <c r="J51" s="575">
        <f>IACM_FATEC_MD20[[#This Row],[ICM]]*$H$3</f>
        <v>21.998999999999999</v>
      </c>
      <c r="K51" s="576">
        <v>6.7415000000000003</v>
      </c>
      <c r="L51" s="576">
        <v>0.9</v>
      </c>
      <c r="M51" s="576">
        <f t="shared" si="7"/>
        <v>13.5</v>
      </c>
      <c r="N51" s="577">
        <v>0</v>
      </c>
      <c r="O51" s="577">
        <v>0</v>
      </c>
      <c r="P51" s="577">
        <f t="shared" si="8"/>
        <v>0</v>
      </c>
      <c r="Q51" s="578">
        <f t="shared" si="9"/>
        <v>100</v>
      </c>
      <c r="R51" s="579">
        <f t="shared" si="4"/>
        <v>65.498999999999995</v>
      </c>
      <c r="S51" s="579">
        <f t="shared" si="5"/>
        <v>0.65498999999999996</v>
      </c>
    </row>
    <row r="52" spans="1:19" ht="15.75">
      <c r="A52" s="572">
        <v>209</v>
      </c>
      <c r="B52" s="604" t="s">
        <v>516</v>
      </c>
      <c r="C52" s="580">
        <v>29.767074999999998</v>
      </c>
      <c r="D52" s="580">
        <v>45.795499999999997</v>
      </c>
      <c r="E52" s="581">
        <v>42.714285714285715</v>
      </c>
      <c r="F52" s="581">
        <v>1</v>
      </c>
      <c r="G52" s="581">
        <f t="shared" si="3"/>
        <v>40</v>
      </c>
      <c r="H52" s="575">
        <f>IACM_FATEC_MD20[[#This Row],[ICM]]*100</f>
        <v>73.33</v>
      </c>
      <c r="I52" s="575">
        <v>0.73329999999999995</v>
      </c>
      <c r="J52" s="575">
        <f>IACM_FATEC_MD20[[#This Row],[ICM]]*$H$3</f>
        <v>21.998999999999999</v>
      </c>
      <c r="K52" s="576">
        <v>6.8815999999999997</v>
      </c>
      <c r="L52" s="576">
        <v>0.9</v>
      </c>
      <c r="M52" s="576">
        <f t="shared" si="7"/>
        <v>13.5</v>
      </c>
      <c r="N52" s="577">
        <v>0.89951502247456816</v>
      </c>
      <c r="O52" s="577">
        <v>1</v>
      </c>
      <c r="P52" s="577">
        <f t="shared" si="8"/>
        <v>15</v>
      </c>
      <c r="Q52" s="578">
        <f t="shared" si="9"/>
        <v>100</v>
      </c>
      <c r="R52" s="579">
        <f t="shared" si="4"/>
        <v>90.498999999999995</v>
      </c>
      <c r="S52" s="579">
        <f t="shared" si="5"/>
        <v>0.90498999999999996</v>
      </c>
    </row>
    <row r="53" spans="1:19" ht="15.75">
      <c r="A53" s="572">
        <v>216</v>
      </c>
      <c r="B53" s="604" t="s">
        <v>517</v>
      </c>
      <c r="C53" s="582">
        <v>29.069430000000001</v>
      </c>
      <c r="D53" s="582">
        <v>44.722200000000001</v>
      </c>
      <c r="E53" s="581">
        <v>32.441860465116278</v>
      </c>
      <c r="F53" s="581">
        <v>0.21545263011698743</v>
      </c>
      <c r="G53" s="581">
        <f t="shared" si="3"/>
        <v>8.6181052046794964</v>
      </c>
      <c r="H53" s="575">
        <f>IACM_FATEC_MD20[[#This Row],[ICM]]*100</f>
        <v>71.430000000000007</v>
      </c>
      <c r="I53" s="575">
        <v>0.71430000000000005</v>
      </c>
      <c r="J53" s="575">
        <f>IACM_FATEC_MD20[[#This Row],[ICM]]*$H$3</f>
        <v>21.429000000000002</v>
      </c>
      <c r="K53" s="576">
        <v>5.8483000000000001</v>
      </c>
      <c r="L53" s="576">
        <v>0.8</v>
      </c>
      <c r="M53" s="576">
        <f t="shared" si="7"/>
        <v>12</v>
      </c>
      <c r="N53" s="577">
        <v>0</v>
      </c>
      <c r="O53" s="577">
        <v>0</v>
      </c>
      <c r="P53" s="577">
        <f t="shared" si="8"/>
        <v>0</v>
      </c>
      <c r="Q53" s="578">
        <f t="shared" si="9"/>
        <v>100</v>
      </c>
      <c r="R53" s="579">
        <f t="shared" si="4"/>
        <v>42.047105204679497</v>
      </c>
      <c r="S53" s="579">
        <f t="shared" si="5"/>
        <v>0.42047105204679497</v>
      </c>
    </row>
    <row r="54" spans="1:19" ht="15.75">
      <c r="A54" s="572">
        <v>217</v>
      </c>
      <c r="B54" s="604" t="s">
        <v>518</v>
      </c>
      <c r="C54" s="580">
        <v>25.912185000000001</v>
      </c>
      <c r="D54" s="580">
        <v>39.864899999999999</v>
      </c>
      <c r="E54" s="581">
        <v>43.01075268817204</v>
      </c>
      <c r="F54" s="581">
        <v>1</v>
      </c>
      <c r="G54" s="581">
        <f t="shared" si="3"/>
        <v>40</v>
      </c>
      <c r="H54" s="575">
        <f>IACM_FATEC_MD20[[#This Row],[ICM]]*100</f>
        <v>80</v>
      </c>
      <c r="I54" s="575">
        <v>0.8</v>
      </c>
      <c r="J54" s="575">
        <f>IACM_FATEC_MD20[[#This Row],[ICM]]*$H$3</f>
        <v>24</v>
      </c>
      <c r="K54" s="576">
        <v>6.3841999999999999</v>
      </c>
      <c r="L54" s="576">
        <v>0.9</v>
      </c>
      <c r="M54" s="576">
        <f t="shared" si="7"/>
        <v>13.5</v>
      </c>
      <c r="N54" s="577">
        <v>0.37311207311207312</v>
      </c>
      <c r="O54" s="577">
        <v>0</v>
      </c>
      <c r="P54" s="577">
        <f t="shared" si="8"/>
        <v>0</v>
      </c>
      <c r="Q54" s="578">
        <f t="shared" si="9"/>
        <v>100</v>
      </c>
      <c r="R54" s="579">
        <f t="shared" si="4"/>
        <v>77.5</v>
      </c>
      <c r="S54" s="579">
        <f t="shared" si="5"/>
        <v>0.77500000000000002</v>
      </c>
    </row>
    <row r="55" spans="1:19" ht="15.75">
      <c r="A55" s="572">
        <v>250</v>
      </c>
      <c r="B55" s="604" t="s">
        <v>519</v>
      </c>
      <c r="C55" s="582">
        <v>24.786645</v>
      </c>
      <c r="D55" s="582">
        <v>38.133299999999998</v>
      </c>
      <c r="E55" s="581">
        <v>31.663974151857836</v>
      </c>
      <c r="F55" s="581">
        <v>0.5152848524111725</v>
      </c>
      <c r="G55" s="581">
        <f t="shared" si="3"/>
        <v>20.611394096446901</v>
      </c>
      <c r="H55" s="575">
        <f>IACM_FATEC_MD20[[#This Row],[ICM]]*100</f>
        <v>92</v>
      </c>
      <c r="I55" s="575">
        <v>0.92</v>
      </c>
      <c r="J55" s="575">
        <f>IACM_FATEC_MD20[[#This Row],[ICM]]*$H$3</f>
        <v>27.6</v>
      </c>
      <c r="K55" s="576">
        <v>5.5709</v>
      </c>
      <c r="L55" s="576">
        <v>0.8</v>
      </c>
      <c r="M55" s="576">
        <f t="shared" si="7"/>
        <v>12</v>
      </c>
      <c r="N55" s="577">
        <v>0</v>
      </c>
      <c r="O55" s="577">
        <v>0</v>
      </c>
      <c r="P55" s="577">
        <f t="shared" si="8"/>
        <v>0</v>
      </c>
      <c r="Q55" s="578">
        <f t="shared" si="9"/>
        <v>100</v>
      </c>
      <c r="R55" s="579">
        <f t="shared" si="4"/>
        <v>60.211394096446902</v>
      </c>
      <c r="S55" s="579">
        <f t="shared" si="5"/>
        <v>0.60211394096446902</v>
      </c>
    </row>
    <row r="56" spans="1:19" ht="15.75">
      <c r="A56" s="572">
        <v>251</v>
      </c>
      <c r="B56" s="604" t="s">
        <v>520</v>
      </c>
      <c r="C56" s="580">
        <v>24.434930000000001</v>
      </c>
      <c r="D56" s="580">
        <v>37.592199999999998</v>
      </c>
      <c r="E56" s="581">
        <v>41.750841750841751</v>
      </c>
      <c r="F56" s="581">
        <v>1</v>
      </c>
      <c r="G56" s="581">
        <f t="shared" si="3"/>
        <v>40</v>
      </c>
      <c r="H56" s="575">
        <f>IACM_FATEC_MD20[[#This Row],[ICM]]*100</f>
        <v>75</v>
      </c>
      <c r="I56" s="575">
        <v>0.75</v>
      </c>
      <c r="J56" s="575">
        <f>IACM_FATEC_MD20[[#This Row],[ICM]]*$H$3</f>
        <v>22.5</v>
      </c>
      <c r="K56" s="576">
        <v>6.5465999999999998</v>
      </c>
      <c r="L56" s="576">
        <v>0.9</v>
      </c>
      <c r="M56" s="576">
        <f t="shared" si="7"/>
        <v>13.5</v>
      </c>
      <c r="N56" s="577">
        <v>0.87537673297166962</v>
      </c>
      <c r="O56" s="577">
        <v>1</v>
      </c>
      <c r="P56" s="577">
        <f t="shared" si="8"/>
        <v>15</v>
      </c>
      <c r="Q56" s="578">
        <f t="shared" si="9"/>
        <v>100</v>
      </c>
      <c r="R56" s="579">
        <f t="shared" si="4"/>
        <v>91</v>
      </c>
      <c r="S56" s="579">
        <f t="shared" si="5"/>
        <v>0.91</v>
      </c>
    </row>
    <row r="57" spans="1:19" ht="15.75">
      <c r="A57" s="572">
        <v>257</v>
      </c>
      <c r="B57" s="604" t="s">
        <v>521</v>
      </c>
      <c r="C57" s="582">
        <v>20.052305</v>
      </c>
      <c r="D57" s="582">
        <v>30.849699999999999</v>
      </c>
      <c r="E57" s="581">
        <v>25.283630470016206</v>
      </c>
      <c r="F57" s="581">
        <v>0.48449885088173644</v>
      </c>
      <c r="G57" s="581">
        <f t="shared" si="3"/>
        <v>19.379954035269456</v>
      </c>
      <c r="H57" s="575">
        <f>IACM_FATEC_MD20[[#This Row],[ICM]]*100</f>
        <v>80</v>
      </c>
      <c r="I57" s="575">
        <v>0.8</v>
      </c>
      <c r="J57" s="575">
        <f>IACM_FATEC_MD20[[#This Row],[ICM]]*$H$3</f>
        <v>24</v>
      </c>
      <c r="K57" s="576">
        <v>5.4508000000000001</v>
      </c>
      <c r="L57" s="576">
        <v>0.8</v>
      </c>
      <c r="M57" s="576">
        <f t="shared" si="7"/>
        <v>12</v>
      </c>
      <c r="N57" s="577">
        <v>0</v>
      </c>
      <c r="O57" s="577">
        <v>0</v>
      </c>
      <c r="P57" s="577">
        <f t="shared" si="8"/>
        <v>0</v>
      </c>
      <c r="Q57" s="578">
        <f t="shared" si="9"/>
        <v>100</v>
      </c>
      <c r="R57" s="579">
        <f t="shared" si="4"/>
        <v>55.379954035269456</v>
      </c>
      <c r="S57" s="579">
        <f t="shared" si="5"/>
        <v>0.55379954035269452</v>
      </c>
    </row>
    <row r="58" spans="1:19" ht="15.75">
      <c r="A58" s="572">
        <v>258</v>
      </c>
      <c r="B58" s="604" t="s">
        <v>522</v>
      </c>
      <c r="C58" s="580">
        <v>23.573159999999998</v>
      </c>
      <c r="D58" s="580">
        <v>36.266399999999997</v>
      </c>
      <c r="E58" s="581">
        <v>17.5</v>
      </c>
      <c r="F58" s="581">
        <v>0</v>
      </c>
      <c r="G58" s="581">
        <f t="shared" si="3"/>
        <v>0</v>
      </c>
      <c r="H58" s="575">
        <f>IACM_FATEC_MD20[[#This Row],[ICM]]*100</f>
        <v>90</v>
      </c>
      <c r="I58" s="575">
        <v>0.9</v>
      </c>
      <c r="J58" s="575">
        <f>IACM_FATEC_MD20[[#This Row],[ICM]]*$H$3</f>
        <v>27</v>
      </c>
      <c r="K58" s="576">
        <v>6.2587999999999999</v>
      </c>
      <c r="L58" s="576">
        <v>0.9</v>
      </c>
      <c r="M58" s="576">
        <f t="shared" si="7"/>
        <v>13.5</v>
      </c>
      <c r="N58" s="577">
        <v>0</v>
      </c>
      <c r="O58" s="577">
        <v>0</v>
      </c>
      <c r="P58" s="577">
        <f t="shared" si="8"/>
        <v>0</v>
      </c>
      <c r="Q58" s="578">
        <f t="shared" si="9"/>
        <v>100</v>
      </c>
      <c r="R58" s="579">
        <f t="shared" si="4"/>
        <v>40.5</v>
      </c>
      <c r="S58" s="579">
        <f t="shared" si="5"/>
        <v>0.40500000000000003</v>
      </c>
    </row>
    <row r="59" spans="1:19" ht="15.75">
      <c r="A59" s="572">
        <v>259</v>
      </c>
      <c r="B59" s="604" t="s">
        <v>523</v>
      </c>
      <c r="C59" s="582">
        <v>26.897000000000002</v>
      </c>
      <c r="D59" s="582">
        <v>41.38</v>
      </c>
      <c r="E59" s="581">
        <v>39.495798319327733</v>
      </c>
      <c r="F59" s="581">
        <v>1</v>
      </c>
      <c r="G59" s="581">
        <f t="shared" si="3"/>
        <v>40</v>
      </c>
      <c r="H59" s="575">
        <f>IACM_FATEC_MD20[[#This Row],[ICM]]*100</f>
        <v>100</v>
      </c>
      <c r="I59" s="575">
        <v>1</v>
      </c>
      <c r="J59" s="575">
        <f>IACM_FATEC_MD20[[#This Row],[ICM]]*$H$3</f>
        <v>30</v>
      </c>
      <c r="K59" s="576">
        <v>5.7731000000000003</v>
      </c>
      <c r="L59" s="576">
        <v>0.8</v>
      </c>
      <c r="M59" s="576">
        <f t="shared" si="7"/>
        <v>12</v>
      </c>
      <c r="N59" s="577">
        <v>0.85582393988191097</v>
      </c>
      <c r="O59" s="577">
        <v>1</v>
      </c>
      <c r="P59" s="577">
        <f t="shared" si="8"/>
        <v>15</v>
      </c>
      <c r="Q59" s="578">
        <f t="shared" si="9"/>
        <v>100</v>
      </c>
      <c r="R59" s="579">
        <f t="shared" si="4"/>
        <v>97</v>
      </c>
      <c r="S59" s="579">
        <f t="shared" si="5"/>
        <v>0.97</v>
      </c>
    </row>
    <row r="60" spans="1:19" ht="15.75">
      <c r="A60" s="572">
        <v>265</v>
      </c>
      <c r="B60" s="604" t="s">
        <v>524</v>
      </c>
      <c r="C60" s="580">
        <v>27.143220000000003</v>
      </c>
      <c r="D60" s="580">
        <v>41.758800000000001</v>
      </c>
      <c r="E60" s="581">
        <v>36.871508379888269</v>
      </c>
      <c r="F60" s="581">
        <v>0.66561083308963909</v>
      </c>
      <c r="G60" s="581">
        <f t="shared" si="3"/>
        <v>26.624433323585563</v>
      </c>
      <c r="H60" s="575">
        <f>IACM_FATEC_MD20[[#This Row],[ICM]]*100</f>
        <v>60</v>
      </c>
      <c r="I60" s="575">
        <v>0.6</v>
      </c>
      <c r="J60" s="575">
        <f>IACM_FATEC_MD20[[#This Row],[ICM]]*$H$3</f>
        <v>18</v>
      </c>
      <c r="K60" s="576">
        <v>6.375</v>
      </c>
      <c r="L60" s="576">
        <v>0.9</v>
      </c>
      <c r="M60" s="576">
        <f t="shared" si="7"/>
        <v>13.5</v>
      </c>
      <c r="N60" s="577">
        <v>0.46744186046511627</v>
      </c>
      <c r="O60" s="577">
        <v>0.5</v>
      </c>
      <c r="P60" s="577">
        <f t="shared" si="8"/>
        <v>7.5</v>
      </c>
      <c r="Q60" s="578">
        <f t="shared" si="9"/>
        <v>100</v>
      </c>
      <c r="R60" s="579">
        <f t="shared" si="4"/>
        <v>65.624433323585563</v>
      </c>
      <c r="S60" s="579">
        <f t="shared" si="5"/>
        <v>0.65624433323585563</v>
      </c>
    </row>
    <row r="61" spans="1:19" ht="15.75">
      <c r="A61" s="572">
        <v>269</v>
      </c>
      <c r="B61" s="604" t="s">
        <v>525</v>
      </c>
      <c r="C61" s="582">
        <v>39.496860000000005</v>
      </c>
      <c r="D61" s="582">
        <v>60.764400000000002</v>
      </c>
      <c r="E61" s="581">
        <v>55.737704918032783</v>
      </c>
      <c r="F61" s="581">
        <v>0.95</v>
      </c>
      <c r="G61" s="581">
        <f t="shared" si="3"/>
        <v>38</v>
      </c>
      <c r="H61" s="575">
        <f>IACM_FATEC_MD20[[#This Row],[ICM]]*100</f>
        <v>73.33</v>
      </c>
      <c r="I61" s="575">
        <v>0.73329999999999995</v>
      </c>
      <c r="J61" s="575">
        <f>IACM_FATEC_MD20[[#This Row],[ICM]]*$H$3</f>
        <v>21.998999999999999</v>
      </c>
      <c r="K61" s="576">
        <v>7.3352000000000004</v>
      </c>
      <c r="L61" s="576">
        <v>1</v>
      </c>
      <c r="M61" s="576">
        <f t="shared" si="7"/>
        <v>15</v>
      </c>
      <c r="N61" s="577">
        <v>0.6412371134020618</v>
      </c>
      <c r="O61" s="577">
        <v>0.7</v>
      </c>
      <c r="P61" s="577">
        <f t="shared" si="8"/>
        <v>10.5</v>
      </c>
      <c r="Q61" s="578">
        <f t="shared" si="9"/>
        <v>100</v>
      </c>
      <c r="R61" s="579">
        <f t="shared" si="4"/>
        <v>85.498999999999995</v>
      </c>
      <c r="S61" s="579">
        <f t="shared" si="5"/>
        <v>0.85498999999999992</v>
      </c>
    </row>
    <row r="62" spans="1:19" ht="15.75">
      <c r="A62" s="572">
        <v>270</v>
      </c>
      <c r="B62" s="604" t="s">
        <v>526</v>
      </c>
      <c r="C62" s="580">
        <v>26.527735000000003</v>
      </c>
      <c r="D62" s="580">
        <v>40.811900000000001</v>
      </c>
      <c r="E62" s="581">
        <v>26.651480637813211</v>
      </c>
      <c r="F62" s="581">
        <v>8.6631341638246286E-3</v>
      </c>
      <c r="G62" s="581">
        <f t="shared" si="3"/>
        <v>0.34652536655298516</v>
      </c>
      <c r="H62" s="575">
        <f>IACM_FATEC_MD20[[#This Row],[ICM]]*100</f>
        <v>76.67</v>
      </c>
      <c r="I62" s="575">
        <v>0.76670000000000005</v>
      </c>
      <c r="J62" s="575">
        <f>IACM_FATEC_MD20[[#This Row],[ICM]]*$H$3</f>
        <v>23.001000000000001</v>
      </c>
      <c r="K62" s="576">
        <v>6.4843000000000002</v>
      </c>
      <c r="L62" s="576">
        <v>0.9</v>
      </c>
      <c r="M62" s="576">
        <f t="shared" si="7"/>
        <v>13.5</v>
      </c>
      <c r="N62" s="577">
        <v>0.40616113744075832</v>
      </c>
      <c r="O62" s="577">
        <v>0.5</v>
      </c>
      <c r="P62" s="577">
        <f t="shared" si="8"/>
        <v>7.5</v>
      </c>
      <c r="Q62" s="578">
        <f t="shared" si="9"/>
        <v>100</v>
      </c>
      <c r="R62" s="579">
        <f t="shared" si="4"/>
        <v>44.347525366552993</v>
      </c>
      <c r="S62" s="579">
        <f t="shared" si="5"/>
        <v>0.44347525366552992</v>
      </c>
    </row>
    <row r="63" spans="1:19" ht="14.45" customHeight="1">
      <c r="A63" s="572">
        <v>272</v>
      </c>
      <c r="B63" s="604" t="s">
        <v>527</v>
      </c>
      <c r="C63" s="582">
        <v>49.678590000000007</v>
      </c>
      <c r="D63" s="582">
        <v>76.428600000000003</v>
      </c>
      <c r="E63" s="581">
        <v>60</v>
      </c>
      <c r="F63" s="581">
        <v>0.95</v>
      </c>
      <c r="G63" s="581">
        <f t="shared" si="3"/>
        <v>38</v>
      </c>
      <c r="H63" s="575">
        <f>IACM_FATEC_MD20[[#This Row],[ICM]]*100</f>
        <v>60</v>
      </c>
      <c r="I63" s="575">
        <v>0.6</v>
      </c>
      <c r="J63" s="575">
        <f>IACM_FATEC_MD20[[#This Row],[ICM]]*$H$3</f>
        <v>18</v>
      </c>
      <c r="K63" s="576">
        <v>7.1722000000000001</v>
      </c>
      <c r="L63" s="576">
        <v>1</v>
      </c>
      <c r="M63" s="576">
        <f t="shared" si="7"/>
        <v>15</v>
      </c>
      <c r="N63" s="577">
        <v>0.98040180401804022</v>
      </c>
      <c r="O63" s="577">
        <v>1</v>
      </c>
      <c r="P63" s="577">
        <f t="shared" si="8"/>
        <v>15</v>
      </c>
      <c r="Q63" s="578">
        <f t="shared" si="9"/>
        <v>100</v>
      </c>
      <c r="R63" s="579">
        <f t="shared" si="4"/>
        <v>86</v>
      </c>
      <c r="S63" s="579">
        <f t="shared" si="5"/>
        <v>0.86</v>
      </c>
    </row>
    <row r="64" spans="1:19" ht="15.75">
      <c r="A64" s="572">
        <v>275</v>
      </c>
      <c r="B64" s="604" t="s">
        <v>528</v>
      </c>
      <c r="C64" s="580">
        <v>52</v>
      </c>
      <c r="D64" s="580">
        <v>80</v>
      </c>
      <c r="E64" s="581">
        <v>46.875</v>
      </c>
      <c r="F64" s="581">
        <v>0</v>
      </c>
      <c r="G64" s="581">
        <f t="shared" si="3"/>
        <v>0</v>
      </c>
      <c r="H64" s="575">
        <f>IACM_FATEC_MD20[[#This Row],[ICM]]*100</f>
        <v>80</v>
      </c>
      <c r="I64" s="575">
        <v>0.8</v>
      </c>
      <c r="J64" s="575">
        <f>IACM_FATEC_MD20[[#This Row],[ICM]]*$H$3</f>
        <v>24</v>
      </c>
      <c r="K64" s="576">
        <v>7.1033999999999997</v>
      </c>
      <c r="L64" s="576">
        <v>1</v>
      </c>
      <c r="M64" s="576">
        <f t="shared" si="7"/>
        <v>15</v>
      </c>
      <c r="N64" s="577">
        <v>0.91929824561403506</v>
      </c>
      <c r="O64" s="577">
        <v>1</v>
      </c>
      <c r="P64" s="577">
        <f t="shared" si="8"/>
        <v>15</v>
      </c>
      <c r="Q64" s="578">
        <f t="shared" si="9"/>
        <v>100</v>
      </c>
      <c r="R64" s="579">
        <f t="shared" si="4"/>
        <v>54</v>
      </c>
      <c r="S64" s="579">
        <f t="shared" si="5"/>
        <v>0.54</v>
      </c>
    </row>
    <row r="65" spans="1:19" ht="15.75">
      <c r="A65" s="572">
        <v>276</v>
      </c>
      <c r="B65" s="604" t="s">
        <v>529</v>
      </c>
      <c r="C65" s="582">
        <v>26.897000000000002</v>
      </c>
      <c r="D65" s="582">
        <v>41.38</v>
      </c>
      <c r="E65" s="581">
        <v>42.976939203354299</v>
      </c>
      <c r="F65" s="581">
        <v>1</v>
      </c>
      <c r="G65" s="581">
        <f t="shared" si="3"/>
        <v>40</v>
      </c>
      <c r="H65" s="575">
        <f>IACM_FATEC_MD20[[#This Row],[ICM]]*100</f>
        <v>68</v>
      </c>
      <c r="I65" s="575">
        <v>0.68</v>
      </c>
      <c r="J65" s="575">
        <f>IACM_FATEC_MD20[[#This Row],[ICM]]*$H$3</f>
        <v>20.400000000000002</v>
      </c>
      <c r="K65" s="576">
        <v>6.6082000000000001</v>
      </c>
      <c r="L65" s="576">
        <v>0.9</v>
      </c>
      <c r="M65" s="576">
        <f t="shared" si="7"/>
        <v>13.5</v>
      </c>
      <c r="N65" s="577">
        <v>0.97372421281216059</v>
      </c>
      <c r="O65" s="577">
        <v>1</v>
      </c>
      <c r="P65" s="577">
        <f t="shared" si="8"/>
        <v>15</v>
      </c>
      <c r="Q65" s="578">
        <f t="shared" si="9"/>
        <v>100</v>
      </c>
      <c r="R65" s="579">
        <f t="shared" si="4"/>
        <v>88.9</v>
      </c>
      <c r="S65" s="579">
        <f t="shared" si="5"/>
        <v>0.88900000000000001</v>
      </c>
    </row>
    <row r="66" spans="1:19" ht="15.75">
      <c r="A66" s="572">
        <v>278</v>
      </c>
      <c r="B66" s="604" t="s">
        <v>530</v>
      </c>
      <c r="C66" s="580">
        <v>25.173524999999998</v>
      </c>
      <c r="D66" s="580">
        <v>38.728499999999997</v>
      </c>
      <c r="E66" s="581">
        <v>41.004184100418414</v>
      </c>
      <c r="F66" s="581">
        <v>1</v>
      </c>
      <c r="G66" s="581">
        <f t="shared" si="3"/>
        <v>40</v>
      </c>
      <c r="H66" s="575">
        <f>IACM_FATEC_MD20[[#This Row],[ICM]]*100</f>
        <v>80</v>
      </c>
      <c r="I66" s="575">
        <v>0.8</v>
      </c>
      <c r="J66" s="575">
        <f>IACM_FATEC_MD20[[#This Row],[ICM]]*$H$3</f>
        <v>24</v>
      </c>
      <c r="K66" s="576">
        <v>6.9928999999999997</v>
      </c>
      <c r="L66" s="576">
        <v>0.9</v>
      </c>
      <c r="M66" s="576">
        <f t="shared" si="7"/>
        <v>13.5</v>
      </c>
      <c r="N66" s="577">
        <v>0.35309734513274338</v>
      </c>
      <c r="O66" s="577">
        <v>0</v>
      </c>
      <c r="P66" s="577">
        <f t="shared" si="8"/>
        <v>0</v>
      </c>
      <c r="Q66" s="578">
        <f t="shared" si="9"/>
        <v>100</v>
      </c>
      <c r="R66" s="579">
        <f t="shared" si="4"/>
        <v>77.5</v>
      </c>
      <c r="S66" s="579">
        <f t="shared" si="5"/>
        <v>0.77500000000000002</v>
      </c>
    </row>
    <row r="67" spans="1:19" ht="15.75">
      <c r="A67" s="572">
        <v>280</v>
      </c>
      <c r="B67" s="604" t="s">
        <v>531</v>
      </c>
      <c r="C67" s="582">
        <v>21.726575</v>
      </c>
      <c r="D67" s="582">
        <v>33.4255</v>
      </c>
      <c r="E67" s="581">
        <v>23.125</v>
      </c>
      <c r="F67" s="581">
        <v>0.11953448714304944</v>
      </c>
      <c r="G67" s="581">
        <f t="shared" si="3"/>
        <v>4.7813794857219776</v>
      </c>
      <c r="H67" s="575">
        <f>IACM_FATEC_MD20[[#This Row],[ICM]]*100</f>
        <v>60</v>
      </c>
      <c r="I67" s="575">
        <v>0.6</v>
      </c>
      <c r="J67" s="575">
        <f>IACM_FATEC_MD20[[#This Row],[ICM]]*$H$3</f>
        <v>18</v>
      </c>
      <c r="K67" s="576">
        <v>6.4263000000000003</v>
      </c>
      <c r="L67" s="576">
        <v>0.9</v>
      </c>
      <c r="M67" s="576">
        <f t="shared" si="7"/>
        <v>13.5</v>
      </c>
      <c r="N67" s="577">
        <v>0.95384615384615379</v>
      </c>
      <c r="O67" s="577">
        <v>1</v>
      </c>
      <c r="P67" s="577">
        <f t="shared" si="8"/>
        <v>15</v>
      </c>
      <c r="Q67" s="578">
        <f t="shared" si="9"/>
        <v>100</v>
      </c>
      <c r="R67" s="579">
        <f t="shared" si="4"/>
        <v>51.281379485721978</v>
      </c>
      <c r="S67" s="579">
        <f t="shared" si="5"/>
        <v>0.51281379485721978</v>
      </c>
    </row>
    <row r="68" spans="1:19" ht="15.75">
      <c r="A68" s="572">
        <v>283</v>
      </c>
      <c r="B68" s="604" t="s">
        <v>532</v>
      </c>
      <c r="C68" s="580">
        <v>24.892140000000001</v>
      </c>
      <c r="D68" s="580">
        <v>38.2956</v>
      </c>
      <c r="E68" s="581">
        <v>45</v>
      </c>
      <c r="F68" s="581">
        <v>1</v>
      </c>
      <c r="G68" s="581">
        <f t="shared" si="3"/>
        <v>40</v>
      </c>
      <c r="H68" s="575">
        <f>IACM_FATEC_MD20[[#This Row],[ICM]]*100</f>
        <v>81.67</v>
      </c>
      <c r="I68" s="575">
        <v>0.81669999999999998</v>
      </c>
      <c r="J68" s="575">
        <f>IACM_FATEC_MD20[[#This Row],[ICM]]*$H$3</f>
        <v>24.500999999999998</v>
      </c>
      <c r="K68" s="576">
        <v>7.1954000000000002</v>
      </c>
      <c r="L68" s="576">
        <v>1</v>
      </c>
      <c r="M68" s="576">
        <f t="shared" si="7"/>
        <v>15</v>
      </c>
      <c r="N68" s="577">
        <v>0.97755014938113538</v>
      </c>
      <c r="O68" s="577">
        <v>1</v>
      </c>
      <c r="P68" s="577">
        <f t="shared" si="8"/>
        <v>15</v>
      </c>
      <c r="Q68" s="578">
        <f t="shared" si="9"/>
        <v>100</v>
      </c>
      <c r="R68" s="579">
        <f t="shared" si="4"/>
        <v>94.501000000000005</v>
      </c>
      <c r="S68" s="579">
        <f t="shared" si="5"/>
        <v>0.94501000000000002</v>
      </c>
    </row>
    <row r="69" spans="1:19" ht="15.75">
      <c r="A69" s="572">
        <v>284</v>
      </c>
      <c r="B69" s="604" t="s">
        <v>533</v>
      </c>
      <c r="C69" s="582">
        <v>24.496485000000003</v>
      </c>
      <c r="D69" s="582">
        <v>37.686900000000001</v>
      </c>
      <c r="E69" s="581">
        <v>40.645161290322577</v>
      </c>
      <c r="F69" s="581">
        <v>1</v>
      </c>
      <c r="G69" s="581">
        <f t="shared" si="3"/>
        <v>40</v>
      </c>
      <c r="H69" s="575">
        <f>IACM_FATEC_MD20[[#This Row],[ICM]]*100</f>
        <v>73.33</v>
      </c>
      <c r="I69" s="575">
        <v>0.73329999999999995</v>
      </c>
      <c r="J69" s="575">
        <f>IACM_FATEC_MD20[[#This Row],[ICM]]*$H$3</f>
        <v>21.998999999999999</v>
      </c>
      <c r="K69" s="576">
        <v>6.9469000000000003</v>
      </c>
      <c r="L69" s="576">
        <v>0.9</v>
      </c>
      <c r="M69" s="576">
        <f t="shared" ref="M69:M81" si="10">L69*$K$3</f>
        <v>13.5</v>
      </c>
      <c r="N69" s="577">
        <v>0.47958492164337146</v>
      </c>
      <c r="O69" s="577">
        <v>0.5</v>
      </c>
      <c r="P69" s="577">
        <f t="shared" ref="P69:P81" si="11">O69*$N$3</f>
        <v>7.5</v>
      </c>
      <c r="Q69" s="578">
        <f t="shared" ref="Q69:Q81" si="12">(IF(ISBLANK(G69),0,$C$3))+(IF(ISBLANK(J69),0,$H$3))+(IF(ISBLANK(M69),0,$K$3))+(IF(ISBLANK(P69),0,$N$3))</f>
        <v>100</v>
      </c>
      <c r="R69" s="579">
        <f t="shared" si="4"/>
        <v>82.998999999999995</v>
      </c>
      <c r="S69" s="579">
        <f t="shared" si="5"/>
        <v>0.82999000000000001</v>
      </c>
    </row>
    <row r="70" spans="1:19" ht="15.75">
      <c r="A70" s="572">
        <v>286</v>
      </c>
      <c r="B70" s="604" t="s">
        <v>534</v>
      </c>
      <c r="C70" s="580">
        <v>20.249320000000001</v>
      </c>
      <c r="D70" s="580">
        <v>31.152799999999999</v>
      </c>
      <c r="E70" s="581">
        <v>14.492753623188406</v>
      </c>
      <c r="F70" s="581">
        <v>0</v>
      </c>
      <c r="G70" s="581">
        <f t="shared" ref="G70:G77" si="13">F70*$C$3</f>
        <v>0</v>
      </c>
      <c r="H70" s="575">
        <f>IACM_FATEC_MD20[[#This Row],[ICM]]*100</f>
        <v>70</v>
      </c>
      <c r="I70" s="575">
        <v>0.7</v>
      </c>
      <c r="J70" s="575">
        <f>IACM_FATEC_MD20[[#This Row],[ICM]]*$H$3</f>
        <v>21</v>
      </c>
      <c r="K70" s="576">
        <v>6.1501000000000001</v>
      </c>
      <c r="L70" s="576">
        <v>0.9</v>
      </c>
      <c r="M70" s="576">
        <f t="shared" si="10"/>
        <v>13.5</v>
      </c>
      <c r="N70" s="577">
        <v>0</v>
      </c>
      <c r="O70" s="577">
        <v>0</v>
      </c>
      <c r="P70" s="577">
        <f t="shared" si="11"/>
        <v>0</v>
      </c>
      <c r="Q70" s="578">
        <f t="shared" si="12"/>
        <v>100</v>
      </c>
      <c r="R70" s="579">
        <f t="shared" ref="R70:R81" si="14">SUM(P70,M70,J70,G70)</f>
        <v>34.5</v>
      </c>
      <c r="S70" s="579">
        <f t="shared" ref="S70:S81" si="15">R70/Q70</f>
        <v>0.34499999999999997</v>
      </c>
    </row>
    <row r="71" spans="1:19" ht="15.75">
      <c r="A71" s="572">
        <v>288</v>
      </c>
      <c r="B71" s="604" t="s">
        <v>535</v>
      </c>
      <c r="C71" s="582">
        <v>29.643964999999998</v>
      </c>
      <c r="D71" s="582">
        <v>45.606099999999998</v>
      </c>
      <c r="E71" s="581">
        <v>43.333333333333336</v>
      </c>
      <c r="F71" s="581">
        <v>1</v>
      </c>
      <c r="G71" s="581">
        <f t="shared" si="13"/>
        <v>40</v>
      </c>
      <c r="H71" s="575">
        <f>IACM_FATEC_MD20[[#This Row],[ICM]]*100</f>
        <v>73.33</v>
      </c>
      <c r="I71" s="575">
        <v>0.73329999999999995</v>
      </c>
      <c r="J71" s="575">
        <f>IACM_FATEC_MD20[[#This Row],[ICM]]*$H$3</f>
        <v>21.998999999999999</v>
      </c>
      <c r="K71" s="576">
        <v>7.3192000000000004</v>
      </c>
      <c r="L71" s="576">
        <v>1</v>
      </c>
      <c r="M71" s="576">
        <f t="shared" si="10"/>
        <v>15</v>
      </c>
      <c r="N71" s="577">
        <v>0.6547114252061248</v>
      </c>
      <c r="O71" s="577">
        <v>0.7</v>
      </c>
      <c r="P71" s="577">
        <f t="shared" si="11"/>
        <v>10.5</v>
      </c>
      <c r="Q71" s="578">
        <f t="shared" si="12"/>
        <v>100</v>
      </c>
      <c r="R71" s="579">
        <f t="shared" si="14"/>
        <v>87.498999999999995</v>
      </c>
      <c r="S71" s="579">
        <f t="shared" si="15"/>
        <v>0.87498999999999993</v>
      </c>
    </row>
    <row r="72" spans="1:19" ht="15.75">
      <c r="A72" s="572">
        <v>290</v>
      </c>
      <c r="B72" s="604" t="s">
        <v>536</v>
      </c>
      <c r="C72" s="580">
        <v>30.136340000000001</v>
      </c>
      <c r="D72" s="580">
        <v>46.363599999999998</v>
      </c>
      <c r="E72" s="581">
        <v>31.25</v>
      </c>
      <c r="F72" s="581">
        <v>6.8628961389661569E-2</v>
      </c>
      <c r="G72" s="581">
        <f t="shared" si="13"/>
        <v>2.7451584555864628</v>
      </c>
      <c r="H72" s="575">
        <f>IACM_FATEC_MD20[[#This Row],[ICM]]*100</f>
        <v>80</v>
      </c>
      <c r="I72" s="575">
        <v>0.8</v>
      </c>
      <c r="J72" s="575">
        <f>IACM_FATEC_MD20[[#This Row],[ICM]]*$H$3</f>
        <v>24</v>
      </c>
      <c r="K72" s="576">
        <v>6.7481999999999998</v>
      </c>
      <c r="L72" s="576">
        <v>0.9</v>
      </c>
      <c r="M72" s="576">
        <f t="shared" si="10"/>
        <v>13.5</v>
      </c>
      <c r="N72" s="577">
        <v>0.98106995884773651</v>
      </c>
      <c r="O72" s="577">
        <v>1</v>
      </c>
      <c r="P72" s="577">
        <f t="shared" si="11"/>
        <v>15</v>
      </c>
      <c r="Q72" s="578">
        <f t="shared" si="12"/>
        <v>100</v>
      </c>
      <c r="R72" s="579">
        <f t="shared" si="14"/>
        <v>55.245158455586463</v>
      </c>
      <c r="S72" s="579">
        <f t="shared" si="15"/>
        <v>0.55245158455586463</v>
      </c>
    </row>
    <row r="73" spans="1:19" ht="15.75">
      <c r="A73" s="572">
        <v>291</v>
      </c>
      <c r="B73" s="604" t="s">
        <v>537</v>
      </c>
      <c r="C73" s="582">
        <v>20.530705000000001</v>
      </c>
      <c r="D73" s="582">
        <v>31.585699999999999</v>
      </c>
      <c r="E73" s="581">
        <v>27.338129496402878</v>
      </c>
      <c r="F73" s="581">
        <v>0.61577816149196618</v>
      </c>
      <c r="G73" s="581">
        <f t="shared" si="13"/>
        <v>24.631126459678647</v>
      </c>
      <c r="H73" s="575">
        <f>IACM_FATEC_MD20[[#This Row],[ICM]]*100</f>
        <v>63.339999999999996</v>
      </c>
      <c r="I73" s="575">
        <v>0.63339999999999996</v>
      </c>
      <c r="J73" s="575">
        <f>IACM_FATEC_MD20[[#This Row],[ICM]]*$H$3</f>
        <v>19.001999999999999</v>
      </c>
      <c r="K73" s="576">
        <v>6.6590999999999996</v>
      </c>
      <c r="L73" s="576">
        <v>0.9</v>
      </c>
      <c r="M73" s="576">
        <f t="shared" si="10"/>
        <v>13.5</v>
      </c>
      <c r="N73" s="577">
        <v>0.76225680933852136</v>
      </c>
      <c r="O73" s="577">
        <v>0.8</v>
      </c>
      <c r="P73" s="577">
        <f t="shared" si="11"/>
        <v>12</v>
      </c>
      <c r="Q73" s="578">
        <f t="shared" si="12"/>
        <v>100</v>
      </c>
      <c r="R73" s="579">
        <f t="shared" si="14"/>
        <v>69.133126459678635</v>
      </c>
      <c r="S73" s="579">
        <f t="shared" si="15"/>
        <v>0.6913312645967864</v>
      </c>
    </row>
    <row r="74" spans="1:19" ht="15.75">
      <c r="A74" s="572">
        <v>292</v>
      </c>
      <c r="B74" s="604" t="s">
        <v>538</v>
      </c>
      <c r="C74" s="580">
        <v>34.9375</v>
      </c>
      <c r="D74" s="580">
        <v>53.75</v>
      </c>
      <c r="E74" s="581">
        <v>44.654088050314463</v>
      </c>
      <c r="F74" s="581">
        <v>0.75</v>
      </c>
      <c r="G74" s="581">
        <f t="shared" si="13"/>
        <v>30</v>
      </c>
      <c r="H74" s="575">
        <f>IACM_FATEC_MD20[[#This Row],[ICM]]*100</f>
        <v>50</v>
      </c>
      <c r="I74" s="575">
        <v>0.5</v>
      </c>
      <c r="J74" s="575">
        <f>IACM_FATEC_MD20[[#This Row],[ICM]]*$H$3</f>
        <v>15</v>
      </c>
      <c r="K74" s="576">
        <v>6.6646999999999998</v>
      </c>
      <c r="L74" s="576">
        <v>0.9</v>
      </c>
      <c r="M74" s="576">
        <f t="shared" si="10"/>
        <v>13.5</v>
      </c>
      <c r="N74" s="577">
        <v>1</v>
      </c>
      <c r="O74" s="577">
        <v>1</v>
      </c>
      <c r="P74" s="577">
        <f t="shared" si="11"/>
        <v>15</v>
      </c>
      <c r="Q74" s="578">
        <f t="shared" si="12"/>
        <v>100</v>
      </c>
      <c r="R74" s="579">
        <f t="shared" si="14"/>
        <v>73.5</v>
      </c>
      <c r="S74" s="579">
        <f t="shared" si="15"/>
        <v>0.73499999999999999</v>
      </c>
    </row>
    <row r="75" spans="1:19" ht="15.75">
      <c r="A75" s="572">
        <v>294</v>
      </c>
      <c r="B75" s="604" t="s">
        <v>539</v>
      </c>
      <c r="C75" s="582">
        <v>26.158404999999998</v>
      </c>
      <c r="D75" s="582">
        <v>40.243699999999997</v>
      </c>
      <c r="E75" s="581">
        <v>53.797468354430379</v>
      </c>
      <c r="F75" s="581">
        <v>1</v>
      </c>
      <c r="G75" s="581">
        <f t="shared" si="13"/>
        <v>40</v>
      </c>
      <c r="H75" s="575">
        <f>IACM_FATEC_MD20[[#This Row],[ICM]]*100</f>
        <v>80</v>
      </c>
      <c r="I75" s="575">
        <v>0.8</v>
      </c>
      <c r="J75" s="575">
        <f>IACM_FATEC_MD20[[#This Row],[ICM]]*$H$3</f>
        <v>24</v>
      </c>
      <c r="K75" s="576">
        <v>6.5362</v>
      </c>
      <c r="L75" s="576">
        <v>0.9</v>
      </c>
      <c r="M75" s="576">
        <f t="shared" si="10"/>
        <v>13.5</v>
      </c>
      <c r="N75" s="577">
        <v>1</v>
      </c>
      <c r="O75" s="577">
        <v>1</v>
      </c>
      <c r="P75" s="577">
        <f t="shared" si="11"/>
        <v>15</v>
      </c>
      <c r="Q75" s="578">
        <f t="shared" si="12"/>
        <v>100</v>
      </c>
      <c r="R75" s="579">
        <f t="shared" si="14"/>
        <v>92.5</v>
      </c>
      <c r="S75" s="579">
        <f t="shared" si="15"/>
        <v>0.92500000000000004</v>
      </c>
    </row>
    <row r="76" spans="1:19" ht="15.75">
      <c r="A76" s="572">
        <v>296</v>
      </c>
      <c r="B76" s="604" t="s">
        <v>540</v>
      </c>
      <c r="C76" s="583">
        <v>29.643964999999998</v>
      </c>
      <c r="D76" s="583">
        <v>45.606099999999998</v>
      </c>
      <c r="E76" s="581">
        <v>40.254237288135592</v>
      </c>
      <c r="F76" s="581">
        <v>0.75</v>
      </c>
      <c r="G76" s="581">
        <f t="shared" si="13"/>
        <v>30</v>
      </c>
      <c r="H76" s="575">
        <f>IACM_FATEC_MD20[[#This Row],[ICM]]*100</f>
        <v>80</v>
      </c>
      <c r="I76" s="575">
        <v>0.8</v>
      </c>
      <c r="J76" s="575">
        <f>IACM_FATEC_MD20[[#This Row],[ICM]]*$H$3</f>
        <v>24</v>
      </c>
      <c r="K76" s="576">
        <v>7.1074999999999999</v>
      </c>
      <c r="L76" s="576">
        <v>1</v>
      </c>
      <c r="M76" s="576">
        <f t="shared" si="10"/>
        <v>15</v>
      </c>
      <c r="N76" s="577">
        <v>0.97971014492753628</v>
      </c>
      <c r="O76" s="577">
        <v>1</v>
      </c>
      <c r="P76" s="577">
        <f t="shared" si="11"/>
        <v>15</v>
      </c>
      <c r="Q76" s="578">
        <f t="shared" si="12"/>
        <v>100</v>
      </c>
      <c r="R76" s="579">
        <f t="shared" si="14"/>
        <v>84</v>
      </c>
      <c r="S76" s="579">
        <f t="shared" si="15"/>
        <v>0.84</v>
      </c>
    </row>
    <row r="77" spans="1:19" ht="15.75">
      <c r="A77" s="572">
        <v>297</v>
      </c>
      <c r="B77" s="604" t="s">
        <v>541</v>
      </c>
      <c r="C77" s="584">
        <v>33.090915000000003</v>
      </c>
      <c r="D77" s="584">
        <v>50.909100000000002</v>
      </c>
      <c r="E77" s="581">
        <v>61.250000000000007</v>
      </c>
      <c r="F77" s="581">
        <v>1</v>
      </c>
      <c r="G77" s="581">
        <f t="shared" si="13"/>
        <v>40</v>
      </c>
      <c r="H77" s="575">
        <v>100</v>
      </c>
      <c r="I77" s="575">
        <v>1</v>
      </c>
      <c r="J77" s="575">
        <f>IACM_FATEC_MD20[[#This Row],[ICM]]*$H$3</f>
        <v>30</v>
      </c>
      <c r="K77" s="576">
        <v>7.1510999999999996</v>
      </c>
      <c r="L77" s="576">
        <v>1</v>
      </c>
      <c r="M77" s="576">
        <f t="shared" si="10"/>
        <v>15</v>
      </c>
      <c r="N77" s="577">
        <v>0.60854700854700861</v>
      </c>
      <c r="O77" s="577">
        <v>0.7</v>
      </c>
      <c r="P77" s="577">
        <f t="shared" si="11"/>
        <v>10.5</v>
      </c>
      <c r="Q77" s="578">
        <f t="shared" si="12"/>
        <v>100</v>
      </c>
      <c r="R77" s="579">
        <f t="shared" si="14"/>
        <v>95.5</v>
      </c>
      <c r="S77" s="579">
        <f t="shared" si="15"/>
        <v>0.95499999999999996</v>
      </c>
    </row>
    <row r="78" spans="1:19" ht="15.75">
      <c r="A78" s="572">
        <v>298</v>
      </c>
      <c r="B78" s="605" t="s">
        <v>542</v>
      </c>
      <c r="C78" s="585"/>
      <c r="D78" s="585"/>
      <c r="E78" s="581"/>
      <c r="F78" s="581"/>
      <c r="G78" s="586"/>
      <c r="H78" s="575">
        <f>IACM_FATEC_MD20[[#This Row],[ICM]]*100</f>
        <v>100</v>
      </c>
      <c r="I78" s="575">
        <v>1</v>
      </c>
      <c r="J78" s="575">
        <f>IACM_FATEC_MD20[[#This Row],[ICM]]*$H$3</f>
        <v>30</v>
      </c>
      <c r="K78" s="576">
        <v>7.4558</v>
      </c>
      <c r="L78" s="576">
        <v>1</v>
      </c>
      <c r="M78" s="576">
        <f t="shared" si="10"/>
        <v>15</v>
      </c>
      <c r="N78" s="577">
        <v>0</v>
      </c>
      <c r="O78" s="577">
        <v>0</v>
      </c>
      <c r="P78" s="577">
        <f t="shared" si="11"/>
        <v>0</v>
      </c>
      <c r="Q78" s="578">
        <f t="shared" si="12"/>
        <v>60</v>
      </c>
      <c r="R78" s="579">
        <f t="shared" si="14"/>
        <v>45</v>
      </c>
      <c r="S78" s="579">
        <f t="shared" si="15"/>
        <v>0.75</v>
      </c>
    </row>
    <row r="79" spans="1:19" ht="15.75">
      <c r="A79" s="572">
        <v>299</v>
      </c>
      <c r="B79" s="605" t="s">
        <v>543</v>
      </c>
      <c r="C79" s="585"/>
      <c r="D79" s="585"/>
      <c r="E79" s="581" t="s">
        <v>620</v>
      </c>
      <c r="F79" s="581"/>
      <c r="G79" s="586"/>
      <c r="H79" s="575"/>
      <c r="I79" s="587"/>
      <c r="J79" s="575"/>
      <c r="K79" s="576">
        <v>7.3151999999999999</v>
      </c>
      <c r="L79" s="576">
        <v>1</v>
      </c>
      <c r="M79" s="576">
        <f t="shared" si="10"/>
        <v>15</v>
      </c>
      <c r="N79" s="577">
        <v>1</v>
      </c>
      <c r="O79" s="577">
        <v>1</v>
      </c>
      <c r="P79" s="577">
        <f t="shared" si="11"/>
        <v>15</v>
      </c>
      <c r="Q79" s="578">
        <f t="shared" si="12"/>
        <v>30</v>
      </c>
      <c r="R79" s="579">
        <f t="shared" si="14"/>
        <v>30</v>
      </c>
      <c r="S79" s="579">
        <f t="shared" si="15"/>
        <v>1</v>
      </c>
    </row>
    <row r="80" spans="1:19" ht="15.75">
      <c r="A80" s="572">
        <v>301</v>
      </c>
      <c r="B80" s="605" t="s">
        <v>544</v>
      </c>
      <c r="C80" s="585"/>
      <c r="D80" s="585"/>
      <c r="E80" s="588" t="s">
        <v>620</v>
      </c>
      <c r="F80" s="588"/>
      <c r="G80" s="589"/>
      <c r="H80" s="575"/>
      <c r="I80" s="590"/>
      <c r="J80" s="575"/>
      <c r="K80" s="591">
        <v>6.7824999999999998</v>
      </c>
      <c r="L80" s="576">
        <v>0.9</v>
      </c>
      <c r="M80" s="576">
        <f t="shared" si="10"/>
        <v>13.5</v>
      </c>
      <c r="N80" s="577">
        <v>0.8411680911680911</v>
      </c>
      <c r="O80" s="577">
        <v>1</v>
      </c>
      <c r="P80" s="577">
        <f t="shared" si="11"/>
        <v>15</v>
      </c>
      <c r="Q80" s="578">
        <f t="shared" si="12"/>
        <v>30</v>
      </c>
      <c r="R80" s="579">
        <f t="shared" si="14"/>
        <v>28.5</v>
      </c>
      <c r="S80" s="579">
        <f t="shared" si="15"/>
        <v>0.95</v>
      </c>
    </row>
    <row r="81" spans="1:19" ht="15.75">
      <c r="A81" s="572">
        <v>305</v>
      </c>
      <c r="B81" s="605" t="s">
        <v>547</v>
      </c>
      <c r="C81" s="592"/>
      <c r="D81" s="592"/>
      <c r="E81" s="588" t="s">
        <v>620</v>
      </c>
      <c r="F81" s="588"/>
      <c r="G81" s="589"/>
      <c r="H81" s="575"/>
      <c r="I81" s="593"/>
      <c r="J81" s="575"/>
      <c r="K81" s="591">
        <v>7.3265000000000002</v>
      </c>
      <c r="L81" s="576">
        <v>1</v>
      </c>
      <c r="M81" s="576">
        <f t="shared" si="10"/>
        <v>15</v>
      </c>
      <c r="N81" s="577">
        <v>0</v>
      </c>
      <c r="O81" s="577">
        <v>0</v>
      </c>
      <c r="P81" s="577">
        <f t="shared" si="11"/>
        <v>0</v>
      </c>
      <c r="Q81" s="578">
        <f t="shared" si="12"/>
        <v>30</v>
      </c>
      <c r="R81" s="579">
        <f t="shared" si="14"/>
        <v>15</v>
      </c>
      <c r="S81" s="579">
        <f t="shared" si="15"/>
        <v>0.5</v>
      </c>
    </row>
    <row r="82" spans="1:19" ht="15.75">
      <c r="A82" s="594">
        <v>308</v>
      </c>
      <c r="B82" s="606" t="s">
        <v>651</v>
      </c>
      <c r="C82" s="595"/>
      <c r="D82" s="595"/>
      <c r="E82" s="596"/>
      <c r="F82" s="596"/>
      <c r="G82" s="596"/>
      <c r="H82" s="597"/>
      <c r="I82" s="596"/>
      <c r="J82" s="597"/>
      <c r="K82" s="596"/>
      <c r="L82" s="596"/>
      <c r="M82" s="597"/>
      <c r="N82" s="597"/>
      <c r="O82" s="597"/>
      <c r="P82" s="597"/>
      <c r="Q82" s="598"/>
      <c r="R82" s="597"/>
      <c r="S82" s="597"/>
    </row>
    <row r="83" spans="1:19" ht="15.75">
      <c r="A83" s="594">
        <v>309</v>
      </c>
      <c r="B83" s="606" t="s">
        <v>652</v>
      </c>
      <c r="C83" s="595"/>
      <c r="D83" s="595"/>
      <c r="E83" s="596"/>
      <c r="F83" s="596"/>
      <c r="G83" s="596"/>
      <c r="H83" s="597"/>
      <c r="I83" s="596"/>
      <c r="J83" s="597"/>
      <c r="K83" s="596"/>
      <c r="L83" s="596"/>
      <c r="M83" s="597"/>
      <c r="N83" s="597"/>
      <c r="O83" s="597"/>
      <c r="P83" s="597"/>
      <c r="Q83" s="598"/>
      <c r="R83" s="597"/>
      <c r="S83" s="597"/>
    </row>
    <row r="84" spans="1:19" ht="15.75">
      <c r="A84" s="572"/>
      <c r="B84" s="231"/>
      <c r="C84" s="599"/>
      <c r="D84" s="599"/>
      <c r="E84" s="234"/>
      <c r="F84" s="241"/>
      <c r="G84" s="234"/>
      <c r="H84" s="234"/>
      <c r="I84" s="234"/>
      <c r="J84" s="234"/>
      <c r="K84" s="600"/>
      <c r="L84" s="601"/>
      <c r="M84" s="601"/>
      <c r="N84" s="600"/>
      <c r="O84" s="602"/>
      <c r="P84" s="601"/>
      <c r="Q84" s="603"/>
      <c r="R84" s="600"/>
      <c r="S84" s="602">
        <f>AVERAGE(S5:S81)</f>
        <v>0.71703464470566713</v>
      </c>
    </row>
  </sheetData>
  <mergeCells count="20">
    <mergeCell ref="A1:B1"/>
    <mergeCell ref="C1:E1"/>
    <mergeCell ref="Y30:Y31"/>
    <mergeCell ref="AA30:AA31"/>
    <mergeCell ref="C3:G3"/>
    <mergeCell ref="C2:G2"/>
    <mergeCell ref="AB30:AB31"/>
    <mergeCell ref="A2:B2"/>
    <mergeCell ref="N3:P3"/>
    <mergeCell ref="K3:M3"/>
    <mergeCell ref="H3:J3"/>
    <mergeCell ref="Q3:S3"/>
    <mergeCell ref="N2:P2"/>
    <mergeCell ref="K2:M2"/>
    <mergeCell ref="A3:B3"/>
    <mergeCell ref="U46:U47"/>
    <mergeCell ref="V46:V47"/>
    <mergeCell ref="U30:U31"/>
    <mergeCell ref="V30:V31"/>
    <mergeCell ref="X30:X31"/>
  </mergeCells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D7A7A-B554-4928-B3CC-27DF210080FF}">
  <sheetPr>
    <tabColor theme="5" tint="-0.249977111117893"/>
  </sheetPr>
  <dimension ref="A1:T231"/>
  <sheetViews>
    <sheetView showGridLines="0" workbookViewId="0">
      <selection activeCell="F9" sqref="F9"/>
    </sheetView>
  </sheetViews>
  <sheetFormatPr defaultRowHeight="15"/>
  <cols>
    <col min="1" max="1" width="9.140625" style="299"/>
    <col min="2" max="2" width="47.42578125" style="120" customWidth="1"/>
    <col min="3" max="3" width="20.5703125" style="299" customWidth="1"/>
    <col min="4" max="4" width="23.42578125" style="299" customWidth="1"/>
    <col min="5" max="5" width="19" style="299" customWidth="1"/>
    <col min="6" max="6" width="21.28515625" style="299" customWidth="1"/>
    <col min="7" max="7" width="25" style="299" customWidth="1"/>
    <col min="8" max="8" width="18.28515625" style="299" customWidth="1"/>
    <col min="9" max="9" width="23.28515625" style="299" customWidth="1"/>
    <col min="10" max="10" width="20.7109375" style="299" customWidth="1"/>
    <col min="11" max="11" width="18.5703125" style="299" customWidth="1"/>
    <col min="12" max="12" width="20.5703125" style="299" customWidth="1"/>
    <col min="13" max="13" width="15.42578125" style="299" customWidth="1"/>
    <col min="14" max="14" width="19.85546875" style="299" customWidth="1"/>
    <col min="15" max="15" width="21.140625" style="299" customWidth="1"/>
    <col min="16" max="16" width="20" style="299" customWidth="1"/>
    <col min="17" max="17" width="15.85546875" style="299" customWidth="1"/>
    <col min="18" max="18" width="17.42578125" style="299" customWidth="1"/>
    <col min="19" max="19" width="16.85546875" style="299" customWidth="1"/>
    <col min="20" max="20" width="18.5703125" style="299" customWidth="1"/>
    <col min="21" max="16384" width="9.140625" style="299"/>
  </cols>
  <sheetData>
    <row r="1" spans="1:20">
      <c r="A1" s="177" t="s">
        <v>674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</row>
    <row r="2" spans="1:20">
      <c r="A2" s="462"/>
      <c r="B2" s="491"/>
      <c r="C2" s="463" t="s">
        <v>656</v>
      </c>
      <c r="D2" s="463"/>
      <c r="E2" s="464" t="s">
        <v>675</v>
      </c>
      <c r="F2" s="464"/>
      <c r="G2" s="464"/>
      <c r="H2" s="464"/>
      <c r="I2" s="464"/>
      <c r="J2" s="464"/>
      <c r="K2" s="463" t="s">
        <v>658</v>
      </c>
      <c r="L2" s="463"/>
      <c r="M2" s="465" t="s">
        <v>659</v>
      </c>
      <c r="N2" s="465"/>
      <c r="O2" s="465"/>
      <c r="P2" s="465"/>
      <c r="Q2" s="465"/>
      <c r="R2" s="465"/>
    </row>
    <row r="3" spans="1:20" ht="124.5" customHeight="1">
      <c r="A3" s="466" t="s">
        <v>548</v>
      </c>
      <c r="B3" s="467" t="s">
        <v>549</v>
      </c>
      <c r="C3" s="468" t="s">
        <v>676</v>
      </c>
      <c r="D3" s="287" t="s">
        <v>661</v>
      </c>
      <c r="E3" s="288" t="s">
        <v>662</v>
      </c>
      <c r="F3" s="289" t="s">
        <v>607</v>
      </c>
      <c r="G3" s="289" t="s">
        <v>550</v>
      </c>
      <c r="H3" s="290" t="s">
        <v>663</v>
      </c>
      <c r="I3" s="290" t="s">
        <v>664</v>
      </c>
      <c r="J3" s="291" t="s">
        <v>551</v>
      </c>
      <c r="K3" s="469" t="s">
        <v>665</v>
      </c>
      <c r="L3" s="293" t="s">
        <v>666</v>
      </c>
      <c r="M3" s="470" t="s">
        <v>667</v>
      </c>
      <c r="N3" s="470" t="s">
        <v>668</v>
      </c>
      <c r="O3" s="470" t="s">
        <v>669</v>
      </c>
      <c r="P3" s="470" t="s">
        <v>670</v>
      </c>
      <c r="Q3" s="470" t="s">
        <v>671</v>
      </c>
      <c r="R3" s="470" t="s">
        <v>672</v>
      </c>
      <c r="S3" s="471" t="s">
        <v>673</v>
      </c>
      <c r="T3" s="490" t="s">
        <v>568</v>
      </c>
    </row>
    <row r="4" spans="1:20">
      <c r="A4" s="472">
        <v>6</v>
      </c>
      <c r="B4" s="492" t="s">
        <v>160</v>
      </c>
      <c r="C4" s="473">
        <v>1528</v>
      </c>
      <c r="D4" s="474">
        <f>Tabela1154[[#This Row],[MATRICULADOS 1° Semestre 2024]]*0.075</f>
        <v>114.6</v>
      </c>
      <c r="E4" s="475">
        <v>161</v>
      </c>
      <c r="F4" s="476">
        <f>IF(Tabela1154[[#This Row],[INSCRITOS - Escola de Inovadores - 1° Semestre 2024]]&lt;Tabela1154[[#This Row],[Linha de Base (7,5%) 1°Semestre]],0,1)</f>
        <v>1</v>
      </c>
      <c r="G4" s="477">
        <f>IF(Tabela1154[[#This Row],[Percentual INSCRITOS - Escola de Inovadores - 2024]]&gt;0,Tabela1154[[#This Row],[Percentual INSCRITOS - Escola de Inovadores - 2024]]*0.6,0)</f>
        <v>0.6</v>
      </c>
      <c r="H4" s="475">
        <v>117</v>
      </c>
      <c r="I4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4" s="476">
        <f>IF(Tabela1154[[#This Row],[X = Percentual de inscritos na escola de inovadores para o cumprimento de meta ( Peso 0,60)]]=0, 0, Tabela1154[[#This Row],[Percentual CONCLUINTES - Escola de Inovadores 2024]]*0.4)</f>
        <v>0.4</v>
      </c>
      <c r="K4" s="473">
        <v>1407</v>
      </c>
      <c r="L4" s="478">
        <f>Tabela1154[[#This Row],[Matriculados 2°Semestre em Curso]]*0.075</f>
        <v>105.52499999999999</v>
      </c>
      <c r="M4" s="479">
        <v>80</v>
      </c>
      <c r="N4" s="480">
        <f>IF(Tabela1154[[#This Row],[INSCRITOS - Escola de Inovadores - 2°Semestre 2024]]&lt;Tabela1154[[#This Row],[Linha de Base (7,5%) 2°Semestre]], 0,1)</f>
        <v>0</v>
      </c>
      <c r="O4" s="480">
        <f>IF(Tabela1154[[#This Row],[Taxa de Inscritos 2° Semestre 2024]]&gt;0,Tabela1154[[#This Row],[Taxa de Inscritos 2° Semestre 2024]]*0.6,0)</f>
        <v>0</v>
      </c>
      <c r="P4" s="479">
        <v>8</v>
      </c>
      <c r="Q4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4" s="480">
        <f>IF(Tabela1154[[#This Row],[Percentual CONCLUINTES - Escola de Inovadores 2024 2°Semestre]]&gt;0,Tabela1154[[#This Row],[Percentual CONCLUINTES - Escola de Inovadores 2024 2°Semestre]]*0.4,0)</f>
        <v>0</v>
      </c>
      <c r="S4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4" s="481">
        <f>IF(S4&gt;=0.8,100%,IF(S4&gt;=0.7,80%,IF(S4&gt;=0.6,70%,IF(S4&gt;=0.5,60%,IF(S4&gt;=0.4,50%,IF(S4&lt;0.4,0%,))))))</f>
        <v>0.6</v>
      </c>
    </row>
    <row r="5" spans="1:20">
      <c r="A5" s="472">
        <v>7</v>
      </c>
      <c r="B5" s="492" t="s">
        <v>64</v>
      </c>
      <c r="C5" s="473">
        <v>1137</v>
      </c>
      <c r="D5" s="474">
        <f>Tabela1154[[#This Row],[MATRICULADOS 1° Semestre 2024]]*0.075</f>
        <v>85.274999999999991</v>
      </c>
      <c r="E5" s="475">
        <v>220</v>
      </c>
      <c r="F5" s="476">
        <f>IF(Tabela1154[[#This Row],[INSCRITOS - Escola de Inovadores - 1° Semestre 2024]]&lt;Tabela1154[[#This Row],[Linha de Base (7,5%) 1°Semestre]],0,1)</f>
        <v>1</v>
      </c>
      <c r="G5" s="477">
        <f>IF(Tabela1154[[#This Row],[Percentual INSCRITOS - Escola de Inovadores - 2024]]&gt;0,Tabela1154[[#This Row],[Percentual INSCRITOS - Escola de Inovadores - 2024]]*0.6,0)</f>
        <v>0.6</v>
      </c>
      <c r="H5" s="475">
        <v>1</v>
      </c>
      <c r="I5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1.1726766344180593E-2</v>
      </c>
      <c r="J5" s="476">
        <f>IF(Tabela1154[[#This Row],[X = Percentual de inscritos na escola de inovadores para o cumprimento de meta ( Peso 0,60)]]=0, 0, Tabela1154[[#This Row],[Percentual CONCLUINTES - Escola de Inovadores 2024]]*0.4)</f>
        <v>4.6907065376722377E-3</v>
      </c>
      <c r="K5" s="473">
        <v>1095</v>
      </c>
      <c r="L5" s="478">
        <f>Tabela1154[[#This Row],[Matriculados 2°Semestre em Curso]]*0.075</f>
        <v>82.125</v>
      </c>
      <c r="M5" s="479">
        <v>12</v>
      </c>
      <c r="N5" s="480">
        <f>IF(Tabela1154[[#This Row],[INSCRITOS - Escola de Inovadores - 2°Semestre 2024]]&lt;Tabela1154[[#This Row],[Linha de Base (7,5%) 2°Semestre]], 0,1)</f>
        <v>0</v>
      </c>
      <c r="O5" s="480">
        <f>IF(Tabela1154[[#This Row],[Taxa de Inscritos 2° Semestre 2024]]&gt;0,Tabela1154[[#This Row],[Taxa de Inscritos 2° Semestre 2024]]*0.6,0)</f>
        <v>0</v>
      </c>
      <c r="P5" s="479">
        <v>2</v>
      </c>
      <c r="Q5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5" s="480">
        <f>IF(Tabela1154[[#This Row],[Percentual CONCLUINTES - Escola de Inovadores 2024 2°Semestre]]&gt;0,Tabela1154[[#This Row],[Percentual CONCLUINTES - Escola de Inovadores 2024 2°Semestre]]*0.4,0)</f>
        <v>0</v>
      </c>
      <c r="S5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0.3023453532688361</v>
      </c>
      <c r="T5" s="481">
        <f t="shared" ref="T5:T68" si="0">IF(S5&gt;=0.8,100%,IF(S5&gt;=0.7,80%,IF(S5&gt;=0.6,70%,IF(S5&gt;=0.5,60%,IF(S5&gt;=0.4,50%,IF(S5&lt;0.4,0%,))))))</f>
        <v>0</v>
      </c>
    </row>
    <row r="6" spans="1:20">
      <c r="A6" s="472">
        <v>8</v>
      </c>
      <c r="B6" s="492" t="s">
        <v>60</v>
      </c>
      <c r="C6" s="473">
        <v>1478</v>
      </c>
      <c r="D6" s="474">
        <f>Tabela1154[[#This Row],[MATRICULADOS 1° Semestre 2024]]*0.075</f>
        <v>110.85</v>
      </c>
      <c r="E6" s="475">
        <v>7</v>
      </c>
      <c r="F6" s="476">
        <f>IF(Tabela1154[[#This Row],[INSCRITOS - Escola de Inovadores - 1° Semestre 2024]]&lt;Tabela1154[[#This Row],[Linha de Base (7,5%) 1°Semestre]],0,1)</f>
        <v>0</v>
      </c>
      <c r="G6" s="477">
        <f>IF(Tabela1154[[#This Row],[Percentual INSCRITOS - Escola de Inovadores - 2024]]&gt;0,Tabela1154[[#This Row],[Percentual INSCRITOS - Escola de Inovadores - 2024]]*0.6,0)</f>
        <v>0</v>
      </c>
      <c r="H6" s="475">
        <v>0</v>
      </c>
      <c r="I6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6" s="476">
        <f>IF(Tabela1154[[#This Row],[X = Percentual de inscritos na escola de inovadores para o cumprimento de meta ( Peso 0,60)]]=0, 0, Tabela1154[[#This Row],[Percentual CONCLUINTES - Escola de Inovadores 2024]]*0.4)</f>
        <v>0</v>
      </c>
      <c r="K6" s="473">
        <v>1437</v>
      </c>
      <c r="L6" s="478">
        <f>Tabela1154[[#This Row],[Matriculados 2°Semestre em Curso]]*0.075</f>
        <v>107.77499999999999</v>
      </c>
      <c r="M6" s="479">
        <v>17</v>
      </c>
      <c r="N6" s="480">
        <f>IF(Tabela1154[[#This Row],[INSCRITOS - Escola de Inovadores - 2°Semestre 2024]]&lt;Tabela1154[[#This Row],[Linha de Base (7,5%) 2°Semestre]], 0,1)</f>
        <v>0</v>
      </c>
      <c r="O6" s="480">
        <f>IF(Tabela1154[[#This Row],[Taxa de Inscritos 2° Semestre 2024]]&gt;0,Tabela1154[[#This Row],[Taxa de Inscritos 2° Semestre 2024]]*0.6,0)</f>
        <v>0</v>
      </c>
      <c r="P6" s="479">
        <v>0</v>
      </c>
      <c r="Q6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6" s="480">
        <f>IF(Tabela1154[[#This Row],[Percentual CONCLUINTES - Escola de Inovadores 2024 2°Semestre]]&gt;0,Tabela1154[[#This Row],[Percentual CONCLUINTES - Escola de Inovadores 2024 2°Semestre]]*0.4,0)</f>
        <v>0</v>
      </c>
      <c r="S6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6" s="481">
        <f t="shared" si="0"/>
        <v>0</v>
      </c>
    </row>
    <row r="7" spans="1:20">
      <c r="A7" s="472">
        <v>9</v>
      </c>
      <c r="B7" s="492" t="s">
        <v>57</v>
      </c>
      <c r="C7" s="473">
        <v>806</v>
      </c>
      <c r="D7" s="474">
        <f>Tabela1154[[#This Row],[MATRICULADOS 1° Semestre 2024]]*0.075</f>
        <v>60.449999999999996</v>
      </c>
      <c r="E7" s="475">
        <v>3</v>
      </c>
      <c r="F7" s="476">
        <f>IF(Tabela1154[[#This Row],[INSCRITOS - Escola de Inovadores - 1° Semestre 2024]]&lt;Tabela1154[[#This Row],[Linha de Base (7,5%) 1°Semestre]],0,1)</f>
        <v>0</v>
      </c>
      <c r="G7" s="477">
        <f>IF(Tabela1154[[#This Row],[Percentual INSCRITOS - Escola de Inovadores - 2024]]&gt;0,Tabela1154[[#This Row],[Percentual INSCRITOS - Escola de Inovadores - 2024]]*0.6,0)</f>
        <v>0</v>
      </c>
      <c r="H7" s="475">
        <v>0</v>
      </c>
      <c r="I7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7" s="476">
        <f>IF(Tabela1154[[#This Row],[X = Percentual de inscritos na escola de inovadores para o cumprimento de meta ( Peso 0,60)]]=0, 0, Tabela1154[[#This Row],[Percentual CONCLUINTES - Escola de Inovadores 2024]]*0.4)</f>
        <v>0</v>
      </c>
      <c r="K7" s="473">
        <v>782</v>
      </c>
      <c r="L7" s="478">
        <f>Tabela1154[[#This Row],[Matriculados 2°Semestre em Curso]]*0.075</f>
        <v>58.65</v>
      </c>
      <c r="M7" s="479">
        <v>47</v>
      </c>
      <c r="N7" s="480">
        <f>IF(Tabela1154[[#This Row],[INSCRITOS - Escola de Inovadores - 2°Semestre 2024]]&lt;Tabela1154[[#This Row],[Linha de Base (7,5%) 2°Semestre]], 0,1)</f>
        <v>0</v>
      </c>
      <c r="O7" s="480">
        <f>IF(Tabela1154[[#This Row],[Taxa de Inscritos 2° Semestre 2024]]&gt;0,Tabela1154[[#This Row],[Taxa de Inscritos 2° Semestre 2024]]*0.6,0)</f>
        <v>0</v>
      </c>
      <c r="P7" s="479">
        <v>11</v>
      </c>
      <c r="Q7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7" s="480">
        <f>IF(Tabela1154[[#This Row],[Percentual CONCLUINTES - Escola de Inovadores 2024 2°Semestre]]&gt;0,Tabela1154[[#This Row],[Percentual CONCLUINTES - Escola de Inovadores 2024 2°Semestre]]*0.4,0)</f>
        <v>0</v>
      </c>
      <c r="S7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7" s="481">
        <f t="shared" si="0"/>
        <v>0</v>
      </c>
    </row>
    <row r="8" spans="1:20">
      <c r="A8" s="472">
        <v>10</v>
      </c>
      <c r="B8" s="492" t="s">
        <v>39</v>
      </c>
      <c r="C8" s="473">
        <v>3581</v>
      </c>
      <c r="D8" s="474">
        <f>Tabela1154[[#This Row],[MATRICULADOS 1° Semestre 2024]]*0.075</f>
        <v>268.57499999999999</v>
      </c>
      <c r="E8" s="475">
        <v>279</v>
      </c>
      <c r="F8" s="476">
        <f>IF(Tabela1154[[#This Row],[INSCRITOS - Escola de Inovadores - 1° Semestre 2024]]&lt;Tabela1154[[#This Row],[Linha de Base (7,5%) 1°Semestre]],0,1)</f>
        <v>1</v>
      </c>
      <c r="G8" s="477">
        <f>IF(Tabela1154[[#This Row],[Percentual INSCRITOS - Escola de Inovadores - 2024]]&gt;0,Tabela1154[[#This Row],[Percentual INSCRITOS - Escola de Inovadores - 2024]]*0.6,0)</f>
        <v>0.6</v>
      </c>
      <c r="H8" s="475">
        <v>79</v>
      </c>
      <c r="I8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0.2941450246672252</v>
      </c>
      <c r="J8" s="476">
        <f>IF(Tabela1154[[#This Row],[X = Percentual de inscritos na escola de inovadores para o cumprimento de meta ( Peso 0,60)]]=0, 0, Tabela1154[[#This Row],[Percentual CONCLUINTES - Escola de Inovadores 2024]]*0.4)</f>
        <v>0.11765800986689008</v>
      </c>
      <c r="K8" s="473">
        <v>3498</v>
      </c>
      <c r="L8" s="478">
        <f>Tabela1154[[#This Row],[Matriculados 2°Semestre em Curso]]*0.075</f>
        <v>262.34999999999997</v>
      </c>
      <c r="M8" s="479">
        <v>163</v>
      </c>
      <c r="N8" s="480">
        <f>IF(Tabela1154[[#This Row],[INSCRITOS - Escola de Inovadores - 2°Semestre 2024]]&lt;Tabela1154[[#This Row],[Linha de Base (7,5%) 2°Semestre]], 0,1)</f>
        <v>0</v>
      </c>
      <c r="O8" s="480">
        <f>IF(Tabela1154[[#This Row],[Taxa de Inscritos 2° Semestre 2024]]&gt;0,Tabela1154[[#This Row],[Taxa de Inscritos 2° Semestre 2024]]*0.6,0)</f>
        <v>0</v>
      </c>
      <c r="P8" s="479">
        <v>29</v>
      </c>
      <c r="Q8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8" s="480">
        <f>IF(Tabela1154[[#This Row],[Percentual CONCLUINTES - Escola de Inovadores 2024 2°Semestre]]&gt;0,Tabela1154[[#This Row],[Percentual CONCLUINTES - Escola de Inovadores 2024 2°Semestre]]*0.4,0)</f>
        <v>0</v>
      </c>
      <c r="S8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0.35882900493344505</v>
      </c>
      <c r="T8" s="481">
        <f t="shared" si="0"/>
        <v>0</v>
      </c>
    </row>
    <row r="9" spans="1:20">
      <c r="A9" s="472">
        <v>11</v>
      </c>
      <c r="B9" s="492" t="s">
        <v>159</v>
      </c>
      <c r="C9" s="473">
        <v>1648</v>
      </c>
      <c r="D9" s="474">
        <f>Tabela1154[[#This Row],[MATRICULADOS 1° Semestre 2024]]*0.075</f>
        <v>123.6</v>
      </c>
      <c r="E9" s="475">
        <v>16</v>
      </c>
      <c r="F9" s="476">
        <f>IF(Tabela1154[[#This Row],[INSCRITOS - Escola de Inovadores - 1° Semestre 2024]]&lt;Tabela1154[[#This Row],[Linha de Base (7,5%) 1°Semestre]],0,1)</f>
        <v>0</v>
      </c>
      <c r="G9" s="477">
        <f>IF(Tabela1154[[#This Row],[Percentual INSCRITOS - Escola de Inovadores - 2024]]&gt;0,Tabela1154[[#This Row],[Percentual INSCRITOS - Escola de Inovadores - 2024]]*0.6,0)</f>
        <v>0</v>
      </c>
      <c r="H9" s="475">
        <v>3</v>
      </c>
      <c r="I9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9" s="476">
        <f>IF(Tabela1154[[#This Row],[X = Percentual de inscritos na escola de inovadores para o cumprimento de meta ( Peso 0,60)]]=0, 0, Tabela1154[[#This Row],[Percentual CONCLUINTES - Escola de Inovadores 2024]]*0.4)</f>
        <v>0</v>
      </c>
      <c r="K9" s="473">
        <v>1561</v>
      </c>
      <c r="L9" s="478">
        <f>Tabela1154[[#This Row],[Matriculados 2°Semestre em Curso]]*0.075</f>
        <v>117.07499999999999</v>
      </c>
      <c r="M9" s="479">
        <v>270</v>
      </c>
      <c r="N9" s="480">
        <f>IF(Tabela1154[[#This Row],[INSCRITOS - Escola de Inovadores - 2°Semestre 2024]]&lt;Tabela1154[[#This Row],[Linha de Base (7,5%) 2°Semestre]], 0,1)</f>
        <v>1</v>
      </c>
      <c r="O9" s="480">
        <f>IF(Tabela1154[[#This Row],[Taxa de Inscritos 2° Semestre 2024]]&gt;0,Tabela1154[[#This Row],[Taxa de Inscritos 2° Semestre 2024]]*0.6,0)</f>
        <v>0.6</v>
      </c>
      <c r="P9" s="479">
        <v>48</v>
      </c>
      <c r="Q9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0.40999359385009615</v>
      </c>
      <c r="R9" s="480">
        <f>IF(Tabela1154[[#This Row],[Percentual CONCLUINTES - Escola de Inovadores 2024 2°Semestre]]&gt;0,Tabela1154[[#This Row],[Percentual CONCLUINTES - Escola de Inovadores 2024 2°Semestre]]*0.4,0)</f>
        <v>0.16399743754003848</v>
      </c>
      <c r="S9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0.38199871877001923</v>
      </c>
      <c r="T9" s="481">
        <f t="shared" si="0"/>
        <v>0</v>
      </c>
    </row>
    <row r="10" spans="1:20">
      <c r="A10" s="472">
        <v>12</v>
      </c>
      <c r="B10" s="492" t="s">
        <v>66</v>
      </c>
      <c r="C10" s="473">
        <v>1897</v>
      </c>
      <c r="D10" s="474">
        <f>Tabela1154[[#This Row],[MATRICULADOS 1° Semestre 2024]]*0.075</f>
        <v>142.27500000000001</v>
      </c>
      <c r="E10" s="475">
        <v>32</v>
      </c>
      <c r="F10" s="476">
        <f>IF(Tabela1154[[#This Row],[INSCRITOS - Escola de Inovadores - 1° Semestre 2024]]&lt;Tabela1154[[#This Row],[Linha de Base (7,5%) 1°Semestre]],0,1)</f>
        <v>0</v>
      </c>
      <c r="G10" s="477">
        <f>IF(Tabela1154[[#This Row],[Percentual INSCRITOS - Escola de Inovadores - 2024]]&gt;0,Tabela1154[[#This Row],[Percentual INSCRITOS - Escola de Inovadores - 2024]]*0.6,0)</f>
        <v>0</v>
      </c>
      <c r="H10" s="475">
        <v>5</v>
      </c>
      <c r="I10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0" s="476">
        <f>IF(Tabela1154[[#This Row],[X = Percentual de inscritos na escola de inovadores para o cumprimento de meta ( Peso 0,60)]]=0, 0, Tabela1154[[#This Row],[Percentual CONCLUINTES - Escola de Inovadores 2024]]*0.4)</f>
        <v>0</v>
      </c>
      <c r="K10" s="473">
        <v>1820</v>
      </c>
      <c r="L10" s="478">
        <f>Tabela1154[[#This Row],[Matriculados 2°Semestre em Curso]]*0.075</f>
        <v>136.5</v>
      </c>
      <c r="M10" s="479">
        <v>53</v>
      </c>
      <c r="N10" s="480">
        <f>IF(Tabela1154[[#This Row],[INSCRITOS - Escola de Inovadores - 2°Semestre 2024]]&lt;Tabela1154[[#This Row],[Linha de Base (7,5%) 2°Semestre]], 0,1)</f>
        <v>0</v>
      </c>
      <c r="O10" s="480">
        <f>IF(Tabela1154[[#This Row],[Taxa de Inscritos 2° Semestre 2024]]&gt;0,Tabela1154[[#This Row],[Taxa de Inscritos 2° Semestre 2024]]*0.6,0)</f>
        <v>0</v>
      </c>
      <c r="P10" s="479">
        <v>1</v>
      </c>
      <c r="Q10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0" s="480">
        <f>IF(Tabela1154[[#This Row],[Percentual CONCLUINTES - Escola de Inovadores 2024 2°Semestre]]&gt;0,Tabela1154[[#This Row],[Percentual CONCLUINTES - Escola de Inovadores 2024 2°Semestre]]*0.4,0)</f>
        <v>0</v>
      </c>
      <c r="S10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0" s="481">
        <f t="shared" si="0"/>
        <v>0</v>
      </c>
    </row>
    <row r="11" spans="1:20">
      <c r="A11" s="472">
        <v>13</v>
      </c>
      <c r="B11" s="492" t="s">
        <v>100</v>
      </c>
      <c r="C11" s="473">
        <v>2884</v>
      </c>
      <c r="D11" s="474">
        <f>Tabela1154[[#This Row],[MATRICULADOS 1° Semestre 2024]]*0.075</f>
        <v>216.29999999999998</v>
      </c>
      <c r="E11" s="475">
        <v>20</v>
      </c>
      <c r="F11" s="476">
        <f>IF(Tabela1154[[#This Row],[INSCRITOS - Escola de Inovadores - 1° Semestre 2024]]&lt;Tabela1154[[#This Row],[Linha de Base (7,5%) 1°Semestre]],0,1)</f>
        <v>0</v>
      </c>
      <c r="G11" s="477">
        <f>IF(Tabela1154[[#This Row],[Percentual INSCRITOS - Escola de Inovadores - 2024]]&gt;0,Tabela1154[[#This Row],[Percentual INSCRITOS - Escola de Inovadores - 2024]]*0.6,0)</f>
        <v>0</v>
      </c>
      <c r="H11" s="475">
        <v>2</v>
      </c>
      <c r="I11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1" s="476">
        <f>IF(Tabela1154[[#This Row],[X = Percentual de inscritos na escola de inovadores para o cumprimento de meta ( Peso 0,60)]]=0, 0, Tabela1154[[#This Row],[Percentual CONCLUINTES - Escola de Inovadores 2024]]*0.4)</f>
        <v>0</v>
      </c>
      <c r="K11" s="473">
        <v>2667</v>
      </c>
      <c r="L11" s="478">
        <f>Tabela1154[[#This Row],[Matriculados 2°Semestre em Curso]]*0.075</f>
        <v>200.02500000000001</v>
      </c>
      <c r="M11" s="479">
        <v>6</v>
      </c>
      <c r="N11" s="480">
        <f>IF(Tabela1154[[#This Row],[INSCRITOS - Escola de Inovadores - 2°Semestre 2024]]&lt;Tabela1154[[#This Row],[Linha de Base (7,5%) 2°Semestre]], 0,1)</f>
        <v>0</v>
      </c>
      <c r="O11" s="480">
        <f>IF(Tabela1154[[#This Row],[Taxa de Inscritos 2° Semestre 2024]]&gt;0,Tabela1154[[#This Row],[Taxa de Inscritos 2° Semestre 2024]]*0.6,0)</f>
        <v>0</v>
      </c>
      <c r="P11" s="479">
        <v>1</v>
      </c>
      <c r="Q11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1" s="480">
        <f>IF(Tabela1154[[#This Row],[Percentual CONCLUINTES - Escola de Inovadores 2024 2°Semestre]]&gt;0,Tabela1154[[#This Row],[Percentual CONCLUINTES - Escola de Inovadores 2024 2°Semestre]]*0.4,0)</f>
        <v>0</v>
      </c>
      <c r="S11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1" s="481">
        <f t="shared" si="0"/>
        <v>0</v>
      </c>
    </row>
    <row r="12" spans="1:20">
      <c r="A12" s="472">
        <v>14</v>
      </c>
      <c r="B12" s="492" t="s">
        <v>61</v>
      </c>
      <c r="C12" s="473">
        <v>2234</v>
      </c>
      <c r="D12" s="474">
        <f>Tabela1154[[#This Row],[MATRICULADOS 1° Semestre 2024]]*0.075</f>
        <v>167.54999999999998</v>
      </c>
      <c r="E12" s="475">
        <v>38</v>
      </c>
      <c r="F12" s="476">
        <f>IF(Tabela1154[[#This Row],[INSCRITOS - Escola de Inovadores - 1° Semestre 2024]]&lt;Tabela1154[[#This Row],[Linha de Base (7,5%) 1°Semestre]],0,1)</f>
        <v>0</v>
      </c>
      <c r="G12" s="477">
        <f>IF(Tabela1154[[#This Row],[Percentual INSCRITOS - Escola de Inovadores - 2024]]&gt;0,Tabela1154[[#This Row],[Percentual INSCRITOS - Escola de Inovadores - 2024]]*0.6,0)</f>
        <v>0</v>
      </c>
      <c r="H12" s="475">
        <v>24</v>
      </c>
      <c r="I12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2" s="476">
        <f>IF(Tabela1154[[#This Row],[X = Percentual de inscritos na escola de inovadores para o cumprimento de meta ( Peso 0,60)]]=0, 0, Tabela1154[[#This Row],[Percentual CONCLUINTES - Escola de Inovadores 2024]]*0.4)</f>
        <v>0</v>
      </c>
      <c r="K12" s="473">
        <v>2142</v>
      </c>
      <c r="L12" s="478">
        <f>Tabela1154[[#This Row],[Matriculados 2°Semestre em Curso]]*0.075</f>
        <v>160.65</v>
      </c>
      <c r="M12" s="479">
        <v>107</v>
      </c>
      <c r="N12" s="480">
        <f>IF(Tabela1154[[#This Row],[INSCRITOS - Escola de Inovadores - 2°Semestre 2024]]&lt;Tabela1154[[#This Row],[Linha de Base (7,5%) 2°Semestre]], 0,1)</f>
        <v>0</v>
      </c>
      <c r="O12" s="480">
        <f>IF(Tabela1154[[#This Row],[Taxa de Inscritos 2° Semestre 2024]]&gt;0,Tabela1154[[#This Row],[Taxa de Inscritos 2° Semestre 2024]]*0.6,0)</f>
        <v>0</v>
      </c>
      <c r="P12" s="479">
        <v>61</v>
      </c>
      <c r="Q12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2" s="480">
        <f>IF(Tabela1154[[#This Row],[Percentual CONCLUINTES - Escola de Inovadores 2024 2°Semestre]]&gt;0,Tabela1154[[#This Row],[Percentual CONCLUINTES - Escola de Inovadores 2024 2°Semestre]]*0.4,0)</f>
        <v>0</v>
      </c>
      <c r="S12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2" s="481">
        <f t="shared" si="0"/>
        <v>0</v>
      </c>
    </row>
    <row r="13" spans="1:20">
      <c r="A13" s="472">
        <v>15</v>
      </c>
      <c r="B13" s="492" t="s">
        <v>38</v>
      </c>
      <c r="C13" s="473">
        <v>1999</v>
      </c>
      <c r="D13" s="474">
        <f>Tabela1154[[#This Row],[MATRICULADOS 1° Semestre 2024]]*0.075</f>
        <v>149.92499999999998</v>
      </c>
      <c r="E13" s="475">
        <v>19</v>
      </c>
      <c r="F13" s="476">
        <f>IF(Tabela1154[[#This Row],[INSCRITOS - Escola de Inovadores - 1° Semestre 2024]]&lt;Tabela1154[[#This Row],[Linha de Base (7,5%) 1°Semestre]],0,1)</f>
        <v>0</v>
      </c>
      <c r="G13" s="477">
        <f>IF(Tabela1154[[#This Row],[Percentual INSCRITOS - Escola de Inovadores - 2024]]&gt;0,Tabela1154[[#This Row],[Percentual INSCRITOS - Escola de Inovadores - 2024]]*0.6,0)</f>
        <v>0</v>
      </c>
      <c r="H13" s="475">
        <v>2</v>
      </c>
      <c r="I13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3" s="476">
        <f>IF(Tabela1154[[#This Row],[X = Percentual de inscritos na escola de inovadores para o cumprimento de meta ( Peso 0,60)]]=0, 0, Tabela1154[[#This Row],[Percentual CONCLUINTES - Escola de Inovadores 2024]]*0.4)</f>
        <v>0</v>
      </c>
      <c r="K13" s="473">
        <v>1941</v>
      </c>
      <c r="L13" s="478">
        <f>Tabela1154[[#This Row],[Matriculados 2°Semestre em Curso]]*0.075</f>
        <v>145.57499999999999</v>
      </c>
      <c r="M13" s="479">
        <v>133</v>
      </c>
      <c r="N13" s="480">
        <f>IF(Tabela1154[[#This Row],[INSCRITOS - Escola de Inovadores - 2°Semestre 2024]]&lt;Tabela1154[[#This Row],[Linha de Base (7,5%) 2°Semestre]], 0,1)</f>
        <v>0</v>
      </c>
      <c r="O13" s="480">
        <f>IF(Tabela1154[[#This Row],[Taxa de Inscritos 2° Semestre 2024]]&gt;0,Tabela1154[[#This Row],[Taxa de Inscritos 2° Semestre 2024]]*0.6,0)</f>
        <v>0</v>
      </c>
      <c r="P13" s="479">
        <v>58</v>
      </c>
      <c r="Q13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3" s="480">
        <f>IF(Tabela1154[[#This Row],[Percentual CONCLUINTES - Escola de Inovadores 2024 2°Semestre]]&gt;0,Tabela1154[[#This Row],[Percentual CONCLUINTES - Escola de Inovadores 2024 2°Semestre]]*0.4,0)</f>
        <v>0</v>
      </c>
      <c r="S13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3" s="481">
        <f t="shared" si="0"/>
        <v>0</v>
      </c>
    </row>
    <row r="14" spans="1:20">
      <c r="A14" s="472">
        <v>16</v>
      </c>
      <c r="B14" s="492" t="s">
        <v>188</v>
      </c>
      <c r="C14" s="473">
        <v>1700</v>
      </c>
      <c r="D14" s="474">
        <f>Tabela1154[[#This Row],[MATRICULADOS 1° Semestre 2024]]*0.075</f>
        <v>127.5</v>
      </c>
      <c r="E14" s="475">
        <v>35</v>
      </c>
      <c r="F14" s="476">
        <f>IF(Tabela1154[[#This Row],[INSCRITOS - Escola de Inovadores - 1° Semestre 2024]]&lt;Tabela1154[[#This Row],[Linha de Base (7,5%) 1°Semestre]],0,1)</f>
        <v>0</v>
      </c>
      <c r="G14" s="477">
        <f>IF(Tabela1154[[#This Row],[Percentual INSCRITOS - Escola de Inovadores - 2024]]&gt;0,Tabela1154[[#This Row],[Percentual INSCRITOS - Escola de Inovadores - 2024]]*0.6,0)</f>
        <v>0</v>
      </c>
      <c r="H14" s="475">
        <v>21</v>
      </c>
      <c r="I14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4" s="476">
        <f>IF(Tabela1154[[#This Row],[X = Percentual de inscritos na escola de inovadores para o cumprimento de meta ( Peso 0,60)]]=0, 0, Tabela1154[[#This Row],[Percentual CONCLUINTES - Escola de Inovadores 2024]]*0.4)</f>
        <v>0</v>
      </c>
      <c r="K14" s="473">
        <v>1570</v>
      </c>
      <c r="L14" s="478">
        <f>Tabela1154[[#This Row],[Matriculados 2°Semestre em Curso]]*0.075</f>
        <v>117.75</v>
      </c>
      <c r="M14" s="479">
        <v>164</v>
      </c>
      <c r="N14" s="480">
        <f>IF(Tabela1154[[#This Row],[INSCRITOS - Escola de Inovadores - 2°Semestre 2024]]&lt;Tabela1154[[#This Row],[Linha de Base (7,5%) 2°Semestre]], 0,1)</f>
        <v>1</v>
      </c>
      <c r="O14" s="480">
        <f>IF(Tabela1154[[#This Row],[Taxa de Inscritos 2° Semestre 2024]]&gt;0,Tabela1154[[#This Row],[Taxa de Inscritos 2° Semestre 2024]]*0.6,0)</f>
        <v>0.6</v>
      </c>
      <c r="P14" s="479">
        <v>72</v>
      </c>
      <c r="Q14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0.61146496815286622</v>
      </c>
      <c r="R14" s="480">
        <f>IF(Tabela1154[[#This Row],[Percentual CONCLUINTES - Escola de Inovadores 2024 2°Semestre]]&gt;0,Tabela1154[[#This Row],[Percentual CONCLUINTES - Escola de Inovadores 2024 2°Semestre]]*0.4,0)</f>
        <v>0.2445859872611465</v>
      </c>
      <c r="S14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0.42229299363057327</v>
      </c>
      <c r="T14" s="481">
        <f t="shared" si="0"/>
        <v>0.5</v>
      </c>
    </row>
    <row r="15" spans="1:20">
      <c r="A15" s="472">
        <v>17</v>
      </c>
      <c r="B15" s="492" t="s">
        <v>69</v>
      </c>
      <c r="C15" s="473">
        <v>1794</v>
      </c>
      <c r="D15" s="474">
        <f>Tabela1154[[#This Row],[MATRICULADOS 1° Semestre 2024]]*0.075</f>
        <v>134.54999999999998</v>
      </c>
      <c r="E15" s="475">
        <v>14</v>
      </c>
      <c r="F15" s="476">
        <f>IF(Tabela1154[[#This Row],[INSCRITOS - Escola de Inovadores - 1° Semestre 2024]]&lt;Tabela1154[[#This Row],[Linha de Base (7,5%) 1°Semestre]],0,1)</f>
        <v>0</v>
      </c>
      <c r="G15" s="477">
        <f>IF(Tabela1154[[#This Row],[Percentual INSCRITOS - Escola de Inovadores - 2024]]&gt;0,Tabela1154[[#This Row],[Percentual INSCRITOS - Escola de Inovadores - 2024]]*0.6,0)</f>
        <v>0</v>
      </c>
      <c r="H15" s="475">
        <v>2</v>
      </c>
      <c r="I15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5" s="476">
        <f>IF(Tabela1154[[#This Row],[X = Percentual de inscritos na escola de inovadores para o cumprimento de meta ( Peso 0,60)]]=0, 0, Tabela1154[[#This Row],[Percentual CONCLUINTES - Escola de Inovadores 2024]]*0.4)</f>
        <v>0</v>
      </c>
      <c r="K15" s="473">
        <v>1690</v>
      </c>
      <c r="L15" s="478">
        <f>Tabela1154[[#This Row],[Matriculados 2°Semestre em Curso]]*0.075</f>
        <v>126.75</v>
      </c>
      <c r="M15" s="479">
        <v>112</v>
      </c>
      <c r="N15" s="480">
        <f>IF(Tabela1154[[#This Row],[INSCRITOS - Escola de Inovadores - 2°Semestre 2024]]&lt;Tabela1154[[#This Row],[Linha de Base (7,5%) 2°Semestre]], 0,1)</f>
        <v>0</v>
      </c>
      <c r="O15" s="480">
        <f>IF(Tabela1154[[#This Row],[Taxa de Inscritos 2° Semestre 2024]]&gt;0,Tabela1154[[#This Row],[Taxa de Inscritos 2° Semestre 2024]]*0.6,0)</f>
        <v>0</v>
      </c>
      <c r="P15" s="479">
        <v>3</v>
      </c>
      <c r="Q15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5" s="480">
        <f>IF(Tabela1154[[#This Row],[Percentual CONCLUINTES - Escola de Inovadores 2024 2°Semestre]]&gt;0,Tabela1154[[#This Row],[Percentual CONCLUINTES - Escola de Inovadores 2024 2°Semestre]]*0.4,0)</f>
        <v>0</v>
      </c>
      <c r="S15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5" s="481">
        <f t="shared" si="0"/>
        <v>0</v>
      </c>
    </row>
    <row r="16" spans="1:20">
      <c r="A16" s="472">
        <v>18</v>
      </c>
      <c r="B16" s="492" t="s">
        <v>43</v>
      </c>
      <c r="C16" s="473">
        <v>871</v>
      </c>
      <c r="D16" s="474">
        <f>Tabela1154[[#This Row],[MATRICULADOS 1° Semestre 2024]]*0.075</f>
        <v>65.325000000000003</v>
      </c>
      <c r="E16" s="475">
        <v>163</v>
      </c>
      <c r="F16" s="476">
        <f>IF(Tabela1154[[#This Row],[INSCRITOS - Escola de Inovadores - 1° Semestre 2024]]&lt;Tabela1154[[#This Row],[Linha de Base (7,5%) 1°Semestre]],0,1)</f>
        <v>1</v>
      </c>
      <c r="G16" s="477">
        <f>IF(Tabela1154[[#This Row],[Percentual INSCRITOS - Escola de Inovadores - 2024]]&gt;0,Tabela1154[[#This Row],[Percentual INSCRITOS - Escola de Inovadores - 2024]]*0.6,0)</f>
        <v>0.6</v>
      </c>
      <c r="H16" s="475">
        <v>11</v>
      </c>
      <c r="I16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0.168388825105243</v>
      </c>
      <c r="J16" s="476">
        <f>IF(Tabela1154[[#This Row],[X = Percentual de inscritos na escola de inovadores para o cumprimento de meta ( Peso 0,60)]]=0, 0, Tabela1154[[#This Row],[Percentual CONCLUINTES - Escola de Inovadores 2024]]*0.4)</f>
        <v>6.7355530042097198E-2</v>
      </c>
      <c r="K16" s="473">
        <v>755</v>
      </c>
      <c r="L16" s="478">
        <f>Tabela1154[[#This Row],[Matriculados 2°Semestre em Curso]]*0.075</f>
        <v>56.625</v>
      </c>
      <c r="M16" s="479">
        <v>70</v>
      </c>
      <c r="N16" s="480">
        <f>IF(Tabela1154[[#This Row],[INSCRITOS - Escola de Inovadores - 2°Semestre 2024]]&lt;Tabela1154[[#This Row],[Linha de Base (7,5%) 2°Semestre]], 0,1)</f>
        <v>1</v>
      </c>
      <c r="O16" s="480">
        <f>IF(Tabela1154[[#This Row],[Taxa de Inscritos 2° Semestre 2024]]&gt;0,Tabela1154[[#This Row],[Taxa de Inscritos 2° Semestre 2024]]*0.6,0)</f>
        <v>0.6</v>
      </c>
      <c r="P16" s="479">
        <v>2</v>
      </c>
      <c r="Q16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3.5320088300220751E-2</v>
      </c>
      <c r="R16" s="480">
        <f>IF(Tabela1154[[#This Row],[Percentual CONCLUINTES - Escola de Inovadores 2024 2°Semestre]]&gt;0,Tabela1154[[#This Row],[Percentual CONCLUINTES - Escola de Inovadores 2024 2°Semestre]]*0.4,0)</f>
        <v>1.41280353200883E-2</v>
      </c>
      <c r="S16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0.64074178268109272</v>
      </c>
      <c r="T16" s="481">
        <f t="shared" si="0"/>
        <v>0.7</v>
      </c>
    </row>
    <row r="17" spans="1:20">
      <c r="A17" s="472">
        <v>19</v>
      </c>
      <c r="B17" s="492" t="s">
        <v>149</v>
      </c>
      <c r="C17" s="473">
        <v>1054</v>
      </c>
      <c r="D17" s="474">
        <f>Tabela1154[[#This Row],[MATRICULADOS 1° Semestre 2024]]*0.075</f>
        <v>79.05</v>
      </c>
      <c r="E17" s="475">
        <v>96</v>
      </c>
      <c r="F17" s="476">
        <f>IF(Tabela1154[[#This Row],[INSCRITOS - Escola de Inovadores - 1° Semestre 2024]]&lt;Tabela1154[[#This Row],[Linha de Base (7,5%) 1°Semestre]],0,1)</f>
        <v>1</v>
      </c>
      <c r="G17" s="477">
        <f>IF(Tabela1154[[#This Row],[Percentual INSCRITOS - Escola de Inovadores - 2024]]&gt;0,Tabela1154[[#This Row],[Percentual INSCRITOS - Escola de Inovadores - 2024]]*0.6,0)</f>
        <v>0.6</v>
      </c>
      <c r="H17" s="475">
        <v>64</v>
      </c>
      <c r="I17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0.80961416824794441</v>
      </c>
      <c r="J17" s="476">
        <f>IF(Tabela1154[[#This Row],[X = Percentual de inscritos na escola de inovadores para o cumprimento de meta ( Peso 0,60)]]=0, 0, Tabela1154[[#This Row],[Percentual CONCLUINTES - Escola de Inovadores 2024]]*0.4)</f>
        <v>0.3238456672991778</v>
      </c>
      <c r="K17" s="473">
        <v>1036</v>
      </c>
      <c r="L17" s="478">
        <f>Tabela1154[[#This Row],[Matriculados 2°Semestre em Curso]]*0.075</f>
        <v>77.7</v>
      </c>
      <c r="M17" s="479">
        <v>53</v>
      </c>
      <c r="N17" s="480">
        <f>IF(Tabela1154[[#This Row],[INSCRITOS - Escola de Inovadores - 2°Semestre 2024]]&lt;Tabela1154[[#This Row],[Linha de Base (7,5%) 2°Semestre]], 0,1)</f>
        <v>0</v>
      </c>
      <c r="O17" s="480">
        <f>IF(Tabela1154[[#This Row],[Taxa de Inscritos 2° Semestre 2024]]&gt;0,Tabela1154[[#This Row],[Taxa de Inscritos 2° Semestre 2024]]*0.6,0)</f>
        <v>0</v>
      </c>
      <c r="P17" s="479">
        <v>27</v>
      </c>
      <c r="Q17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7" s="480">
        <f>IF(Tabela1154[[#This Row],[Percentual CONCLUINTES - Escola de Inovadores 2024 2°Semestre]]&gt;0,Tabela1154[[#This Row],[Percentual CONCLUINTES - Escola de Inovadores 2024 2°Semestre]]*0.4,0)</f>
        <v>0</v>
      </c>
      <c r="S17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0.46192283364958886</v>
      </c>
      <c r="T17" s="481">
        <f t="shared" si="0"/>
        <v>0.5</v>
      </c>
    </row>
    <row r="18" spans="1:20">
      <c r="A18" s="472">
        <v>23</v>
      </c>
      <c r="B18" s="492" t="s">
        <v>79</v>
      </c>
      <c r="C18" s="473">
        <v>1749</v>
      </c>
      <c r="D18" s="474">
        <f>Tabela1154[[#This Row],[MATRICULADOS 1° Semestre 2024]]*0.075</f>
        <v>131.17499999999998</v>
      </c>
      <c r="E18" s="475">
        <v>282</v>
      </c>
      <c r="F18" s="476">
        <f>IF(Tabela1154[[#This Row],[INSCRITOS - Escola de Inovadores - 1° Semestre 2024]]&lt;Tabela1154[[#This Row],[Linha de Base (7,5%) 1°Semestre]],0,1)</f>
        <v>1</v>
      </c>
      <c r="G18" s="477">
        <f>IF(Tabela1154[[#This Row],[Percentual INSCRITOS - Escola de Inovadores - 2024]]&gt;0,Tabela1154[[#This Row],[Percentual INSCRITOS - Escola de Inovadores - 2024]]*0.6,0)</f>
        <v>0.6</v>
      </c>
      <c r="H18" s="475">
        <v>164</v>
      </c>
      <c r="I18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18" s="476">
        <f>IF(Tabela1154[[#This Row],[X = Percentual de inscritos na escola de inovadores para o cumprimento de meta ( Peso 0,60)]]=0, 0, Tabela1154[[#This Row],[Percentual CONCLUINTES - Escola de Inovadores 2024]]*0.4)</f>
        <v>0.4</v>
      </c>
      <c r="K18" s="473">
        <v>1606</v>
      </c>
      <c r="L18" s="478">
        <f>Tabela1154[[#This Row],[Matriculados 2°Semestre em Curso]]*0.075</f>
        <v>120.44999999999999</v>
      </c>
      <c r="M18" s="479">
        <v>53</v>
      </c>
      <c r="N18" s="480">
        <f>IF(Tabela1154[[#This Row],[INSCRITOS - Escola de Inovadores - 2°Semestre 2024]]&lt;Tabela1154[[#This Row],[Linha de Base (7,5%) 2°Semestre]], 0,1)</f>
        <v>0</v>
      </c>
      <c r="O18" s="480">
        <f>IF(Tabela1154[[#This Row],[Taxa de Inscritos 2° Semestre 2024]]&gt;0,Tabela1154[[#This Row],[Taxa de Inscritos 2° Semestre 2024]]*0.6,0)</f>
        <v>0</v>
      </c>
      <c r="P18" s="479">
        <v>34</v>
      </c>
      <c r="Q18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8" s="480">
        <f>IF(Tabela1154[[#This Row],[Percentual CONCLUINTES - Escola de Inovadores 2024 2°Semestre]]&gt;0,Tabela1154[[#This Row],[Percentual CONCLUINTES - Escola de Inovadores 2024 2°Semestre]]*0.4,0)</f>
        <v>0</v>
      </c>
      <c r="S18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18" s="481">
        <f t="shared" si="0"/>
        <v>0.6</v>
      </c>
    </row>
    <row r="19" spans="1:20">
      <c r="A19" s="472">
        <v>24</v>
      </c>
      <c r="B19" s="492" t="s">
        <v>96</v>
      </c>
      <c r="C19" s="473">
        <v>952</v>
      </c>
      <c r="D19" s="474">
        <f>Tabela1154[[#This Row],[MATRICULADOS 1° Semestre 2024]]*0.075</f>
        <v>71.399999999999991</v>
      </c>
      <c r="E19" s="475">
        <v>165</v>
      </c>
      <c r="F19" s="476">
        <f>IF(Tabela1154[[#This Row],[INSCRITOS - Escola de Inovadores - 1° Semestre 2024]]&lt;Tabela1154[[#This Row],[Linha de Base (7,5%) 1°Semestre]],0,1)</f>
        <v>1</v>
      </c>
      <c r="G19" s="477">
        <f>IF(Tabela1154[[#This Row],[Percentual INSCRITOS - Escola de Inovadores - 2024]]&gt;0,Tabela1154[[#This Row],[Percentual INSCRITOS - Escola de Inovadores - 2024]]*0.6,0)</f>
        <v>0.6</v>
      </c>
      <c r="H19" s="475">
        <v>129</v>
      </c>
      <c r="I19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19" s="476">
        <f>IF(Tabela1154[[#This Row],[X = Percentual de inscritos na escola de inovadores para o cumprimento de meta ( Peso 0,60)]]=0, 0, Tabela1154[[#This Row],[Percentual CONCLUINTES - Escola de Inovadores 2024]]*0.4)</f>
        <v>0.4</v>
      </c>
      <c r="K19" s="473">
        <v>908</v>
      </c>
      <c r="L19" s="478">
        <f>Tabela1154[[#This Row],[Matriculados 2°Semestre em Curso]]*0.075</f>
        <v>68.099999999999994</v>
      </c>
      <c r="M19" s="479">
        <v>9</v>
      </c>
      <c r="N19" s="480">
        <f>IF(Tabela1154[[#This Row],[INSCRITOS - Escola de Inovadores - 2°Semestre 2024]]&lt;Tabela1154[[#This Row],[Linha de Base (7,5%) 2°Semestre]], 0,1)</f>
        <v>0</v>
      </c>
      <c r="O19" s="480">
        <f>IF(Tabela1154[[#This Row],[Taxa de Inscritos 2° Semestre 2024]]&gt;0,Tabela1154[[#This Row],[Taxa de Inscritos 2° Semestre 2024]]*0.6,0)</f>
        <v>0</v>
      </c>
      <c r="P19" s="479">
        <v>3</v>
      </c>
      <c r="Q19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9" s="480">
        <f>IF(Tabela1154[[#This Row],[Percentual CONCLUINTES - Escola de Inovadores 2024 2°Semestre]]&gt;0,Tabela1154[[#This Row],[Percentual CONCLUINTES - Escola de Inovadores 2024 2°Semestre]]*0.4,0)</f>
        <v>0</v>
      </c>
      <c r="S19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19" s="481">
        <f t="shared" si="0"/>
        <v>0.6</v>
      </c>
    </row>
    <row r="20" spans="1:20">
      <c r="A20" s="472">
        <v>25</v>
      </c>
      <c r="B20" s="492" t="s">
        <v>29</v>
      </c>
      <c r="C20" s="473">
        <v>995</v>
      </c>
      <c r="D20" s="474">
        <f>Tabela1154[[#This Row],[MATRICULADOS 1° Semestre 2024]]*0.075</f>
        <v>74.625</v>
      </c>
      <c r="E20" s="475">
        <v>109</v>
      </c>
      <c r="F20" s="476">
        <f>IF(Tabela1154[[#This Row],[INSCRITOS - Escola de Inovadores - 1° Semestre 2024]]&lt;Tabela1154[[#This Row],[Linha de Base (7,5%) 1°Semestre]],0,1)</f>
        <v>1</v>
      </c>
      <c r="G20" s="477">
        <f>IF(Tabela1154[[#This Row],[Percentual INSCRITOS - Escola de Inovadores - 2024]]&gt;0,Tabela1154[[#This Row],[Percentual INSCRITOS - Escola de Inovadores - 2024]]*0.6,0)</f>
        <v>0.6</v>
      </c>
      <c r="H20" s="475">
        <v>90</v>
      </c>
      <c r="I20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20" s="476">
        <f>IF(Tabela1154[[#This Row],[X = Percentual de inscritos na escola de inovadores para o cumprimento de meta ( Peso 0,60)]]=0, 0, Tabela1154[[#This Row],[Percentual CONCLUINTES - Escola de Inovadores 2024]]*0.4)</f>
        <v>0.4</v>
      </c>
      <c r="K20" s="473">
        <v>951</v>
      </c>
      <c r="L20" s="478">
        <f>Tabela1154[[#This Row],[Matriculados 2°Semestre em Curso]]*0.075</f>
        <v>71.325000000000003</v>
      </c>
      <c r="M20" s="479">
        <v>91</v>
      </c>
      <c r="N20" s="480">
        <f>IF(Tabela1154[[#This Row],[INSCRITOS - Escola de Inovadores - 2°Semestre 2024]]&lt;Tabela1154[[#This Row],[Linha de Base (7,5%) 2°Semestre]], 0,1)</f>
        <v>1</v>
      </c>
      <c r="O20" s="480">
        <f>IF(Tabela1154[[#This Row],[Taxa de Inscritos 2° Semestre 2024]]&gt;0,Tabela1154[[#This Row],[Taxa de Inscritos 2° Semestre 2024]]*0.6,0)</f>
        <v>0.6</v>
      </c>
      <c r="P20" s="479">
        <v>83</v>
      </c>
      <c r="Q20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1</v>
      </c>
      <c r="R20" s="480">
        <f>IF(Tabela1154[[#This Row],[Percentual CONCLUINTES - Escola de Inovadores 2024 2°Semestre]]&gt;0,Tabela1154[[#This Row],[Percentual CONCLUINTES - Escola de Inovadores 2024 2°Semestre]]*0.4,0)</f>
        <v>0.4</v>
      </c>
      <c r="S20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1</v>
      </c>
      <c r="T20" s="481">
        <f t="shared" si="0"/>
        <v>1</v>
      </c>
    </row>
    <row r="21" spans="1:20">
      <c r="A21" s="472">
        <v>26</v>
      </c>
      <c r="B21" s="492" t="s">
        <v>55</v>
      </c>
      <c r="C21" s="473">
        <v>1285</v>
      </c>
      <c r="D21" s="474">
        <f>Tabela1154[[#This Row],[MATRICULADOS 1° Semestre 2024]]*0.075</f>
        <v>96.375</v>
      </c>
      <c r="E21" s="475">
        <v>192</v>
      </c>
      <c r="F21" s="476">
        <f>IF(Tabela1154[[#This Row],[INSCRITOS - Escola de Inovadores - 1° Semestre 2024]]&lt;Tabela1154[[#This Row],[Linha de Base (7,5%) 1°Semestre]],0,1)</f>
        <v>1</v>
      </c>
      <c r="G21" s="477">
        <f>IF(Tabela1154[[#This Row],[Percentual INSCRITOS - Escola de Inovadores - 2024]]&gt;0,Tabela1154[[#This Row],[Percentual INSCRITOS - Escola de Inovadores - 2024]]*0.6,0)</f>
        <v>0.6</v>
      </c>
      <c r="H21" s="475">
        <v>24</v>
      </c>
      <c r="I21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0.24902723735408561</v>
      </c>
      <c r="J21" s="476">
        <f>IF(Tabela1154[[#This Row],[X = Percentual de inscritos na escola de inovadores para o cumprimento de meta ( Peso 0,60)]]=0, 0, Tabela1154[[#This Row],[Percentual CONCLUINTES - Escola de Inovadores 2024]]*0.4)</f>
        <v>9.9610894941634248E-2</v>
      </c>
      <c r="K21" s="473">
        <v>1215</v>
      </c>
      <c r="L21" s="478">
        <f>Tabela1154[[#This Row],[Matriculados 2°Semestre em Curso]]*0.075</f>
        <v>91.125</v>
      </c>
      <c r="M21" s="479">
        <v>64</v>
      </c>
      <c r="N21" s="480">
        <f>IF(Tabela1154[[#This Row],[INSCRITOS - Escola de Inovadores - 2°Semestre 2024]]&lt;Tabela1154[[#This Row],[Linha de Base (7,5%) 2°Semestre]], 0,1)</f>
        <v>0</v>
      </c>
      <c r="O21" s="480">
        <f>IF(Tabela1154[[#This Row],[Taxa de Inscritos 2° Semestre 2024]]&gt;0,Tabela1154[[#This Row],[Taxa de Inscritos 2° Semestre 2024]]*0.6,0)</f>
        <v>0</v>
      </c>
      <c r="P21" s="479">
        <v>24</v>
      </c>
      <c r="Q21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21" s="480">
        <f>IF(Tabela1154[[#This Row],[Percentual CONCLUINTES - Escola de Inovadores 2024 2°Semestre]]&gt;0,Tabela1154[[#This Row],[Percentual CONCLUINTES - Escola de Inovadores 2024 2°Semestre]]*0.4,0)</f>
        <v>0</v>
      </c>
      <c r="S21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0.3498054474708171</v>
      </c>
      <c r="T21" s="481">
        <f t="shared" si="0"/>
        <v>0</v>
      </c>
    </row>
    <row r="22" spans="1:20">
      <c r="A22" s="472">
        <v>27</v>
      </c>
      <c r="B22" s="492" t="s">
        <v>155</v>
      </c>
      <c r="C22" s="473">
        <v>1110</v>
      </c>
      <c r="D22" s="474">
        <f>Tabela1154[[#This Row],[MATRICULADOS 1° Semestre 2024]]*0.075</f>
        <v>83.25</v>
      </c>
      <c r="E22" s="475">
        <v>38</v>
      </c>
      <c r="F22" s="476">
        <f>IF(Tabela1154[[#This Row],[INSCRITOS - Escola de Inovadores - 1° Semestre 2024]]&lt;Tabela1154[[#This Row],[Linha de Base (7,5%) 1°Semestre]],0,1)</f>
        <v>0</v>
      </c>
      <c r="G22" s="477">
        <f>IF(Tabela1154[[#This Row],[Percentual INSCRITOS - Escola de Inovadores - 2024]]&gt;0,Tabela1154[[#This Row],[Percentual INSCRITOS - Escola de Inovadores - 2024]]*0.6,0)</f>
        <v>0</v>
      </c>
      <c r="H22" s="475">
        <v>9</v>
      </c>
      <c r="I22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22" s="476">
        <f>IF(Tabela1154[[#This Row],[X = Percentual de inscritos na escola de inovadores para o cumprimento de meta ( Peso 0,60)]]=0, 0, Tabela1154[[#This Row],[Percentual CONCLUINTES - Escola de Inovadores 2024]]*0.4)</f>
        <v>0</v>
      </c>
      <c r="K22" s="473">
        <v>1011</v>
      </c>
      <c r="L22" s="478">
        <f>Tabela1154[[#This Row],[Matriculados 2°Semestre em Curso]]*0.075</f>
        <v>75.825000000000003</v>
      </c>
      <c r="M22" s="479">
        <v>97</v>
      </c>
      <c r="N22" s="480">
        <f>IF(Tabela1154[[#This Row],[INSCRITOS - Escola de Inovadores - 2°Semestre 2024]]&lt;Tabela1154[[#This Row],[Linha de Base (7,5%) 2°Semestre]], 0,1)</f>
        <v>1</v>
      </c>
      <c r="O22" s="480">
        <f>IF(Tabela1154[[#This Row],[Taxa de Inscritos 2° Semestre 2024]]&gt;0,Tabela1154[[#This Row],[Taxa de Inscritos 2° Semestre 2024]]*0.6,0)</f>
        <v>0.6</v>
      </c>
      <c r="P22" s="479">
        <v>57</v>
      </c>
      <c r="Q22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0.75173095944609292</v>
      </c>
      <c r="R22" s="480">
        <f>IF(Tabela1154[[#This Row],[Percentual CONCLUINTES - Escola de Inovadores 2024 2°Semestre]]&gt;0,Tabela1154[[#This Row],[Percentual CONCLUINTES - Escola de Inovadores 2024 2°Semestre]]*0.4,0)</f>
        <v>0.30069238377843721</v>
      </c>
      <c r="S22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0.45034619188921859</v>
      </c>
      <c r="T22" s="481">
        <f t="shared" si="0"/>
        <v>0.5</v>
      </c>
    </row>
    <row r="23" spans="1:20">
      <c r="A23" s="472">
        <v>28</v>
      </c>
      <c r="B23" s="492" t="s">
        <v>27</v>
      </c>
      <c r="C23" s="473">
        <v>296</v>
      </c>
      <c r="D23" s="474">
        <f>Tabela1154[[#This Row],[MATRICULADOS 1° Semestre 2024]]*0.075</f>
        <v>22.2</v>
      </c>
      <c r="E23" s="475">
        <v>109</v>
      </c>
      <c r="F23" s="476">
        <f>IF(Tabela1154[[#This Row],[INSCRITOS - Escola de Inovadores - 1° Semestre 2024]]&lt;Tabela1154[[#This Row],[Linha de Base (7,5%) 1°Semestre]],0,1)</f>
        <v>1</v>
      </c>
      <c r="G23" s="477">
        <f>IF(Tabela1154[[#This Row],[Percentual INSCRITOS - Escola de Inovadores - 2024]]&gt;0,Tabela1154[[#This Row],[Percentual INSCRITOS - Escola de Inovadores - 2024]]*0.6,0)</f>
        <v>0.6</v>
      </c>
      <c r="H23" s="475">
        <v>73</v>
      </c>
      <c r="I23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23" s="476">
        <f>IF(Tabela1154[[#This Row],[X = Percentual de inscritos na escola de inovadores para o cumprimento de meta ( Peso 0,60)]]=0, 0, Tabela1154[[#This Row],[Percentual CONCLUINTES - Escola de Inovadores 2024]]*0.4)</f>
        <v>0.4</v>
      </c>
      <c r="K23" s="473">
        <v>270</v>
      </c>
      <c r="L23" s="478">
        <f>Tabela1154[[#This Row],[Matriculados 2°Semestre em Curso]]*0.075</f>
        <v>20.25</v>
      </c>
      <c r="M23" s="479">
        <v>0</v>
      </c>
      <c r="N23" s="480">
        <f>IF(Tabela1154[[#This Row],[INSCRITOS - Escola de Inovadores - 2°Semestre 2024]]&lt;Tabela1154[[#This Row],[Linha de Base (7,5%) 2°Semestre]], 0,1)</f>
        <v>0</v>
      </c>
      <c r="O23" s="480">
        <f>IF(Tabela1154[[#This Row],[Taxa de Inscritos 2° Semestre 2024]]&gt;0,Tabela1154[[#This Row],[Taxa de Inscritos 2° Semestre 2024]]*0.6,0)</f>
        <v>0</v>
      </c>
      <c r="P23" s="479">
        <v>0</v>
      </c>
      <c r="Q23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23" s="480">
        <f>IF(Tabela1154[[#This Row],[Percentual CONCLUINTES - Escola de Inovadores 2024 2°Semestre]]&gt;0,Tabela1154[[#This Row],[Percentual CONCLUINTES - Escola de Inovadores 2024 2°Semestre]]*0.4,0)</f>
        <v>0</v>
      </c>
      <c r="S23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23" s="481">
        <f t="shared" si="0"/>
        <v>0.6</v>
      </c>
    </row>
    <row r="24" spans="1:20">
      <c r="A24" s="472">
        <v>29</v>
      </c>
      <c r="B24" s="492" t="s">
        <v>182</v>
      </c>
      <c r="C24" s="473">
        <v>1263</v>
      </c>
      <c r="D24" s="474">
        <f>Tabela1154[[#This Row],[MATRICULADOS 1° Semestre 2024]]*0.075</f>
        <v>94.724999999999994</v>
      </c>
      <c r="E24" s="475">
        <v>101</v>
      </c>
      <c r="F24" s="476">
        <f>IF(Tabela1154[[#This Row],[INSCRITOS - Escola de Inovadores - 1° Semestre 2024]]&lt;Tabela1154[[#This Row],[Linha de Base (7,5%) 1°Semestre]],0,1)</f>
        <v>1</v>
      </c>
      <c r="G24" s="477">
        <f>IF(Tabela1154[[#This Row],[Percentual INSCRITOS - Escola de Inovadores - 2024]]&gt;0,Tabela1154[[#This Row],[Percentual INSCRITOS - Escola de Inovadores - 2024]]*0.6,0)</f>
        <v>0.6</v>
      </c>
      <c r="H24" s="475">
        <v>2</v>
      </c>
      <c r="I24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2.1113750329902349E-2</v>
      </c>
      <c r="J24" s="476">
        <f>IF(Tabela1154[[#This Row],[X = Percentual de inscritos na escola de inovadores para o cumprimento de meta ( Peso 0,60)]]=0, 0, Tabela1154[[#This Row],[Percentual CONCLUINTES - Escola de Inovadores 2024]]*0.4)</f>
        <v>8.4455001319609403E-3</v>
      </c>
      <c r="K24" s="473">
        <v>1177</v>
      </c>
      <c r="L24" s="478">
        <f>Tabela1154[[#This Row],[Matriculados 2°Semestre em Curso]]*0.075</f>
        <v>88.274999999999991</v>
      </c>
      <c r="M24" s="479">
        <v>11</v>
      </c>
      <c r="N24" s="480">
        <f>IF(Tabela1154[[#This Row],[INSCRITOS - Escola de Inovadores - 2°Semestre 2024]]&lt;Tabela1154[[#This Row],[Linha de Base (7,5%) 2°Semestre]], 0,1)</f>
        <v>0</v>
      </c>
      <c r="O24" s="480">
        <f>IF(Tabela1154[[#This Row],[Taxa de Inscritos 2° Semestre 2024]]&gt;0,Tabela1154[[#This Row],[Taxa de Inscritos 2° Semestre 2024]]*0.6,0)</f>
        <v>0</v>
      </c>
      <c r="P24" s="479">
        <v>1</v>
      </c>
      <c r="Q24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24" s="480">
        <f>IF(Tabela1154[[#This Row],[Percentual CONCLUINTES - Escola de Inovadores 2024 2°Semestre]]&gt;0,Tabela1154[[#This Row],[Percentual CONCLUINTES - Escola de Inovadores 2024 2°Semestre]]*0.4,0)</f>
        <v>0</v>
      </c>
      <c r="S24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0.30422275006598049</v>
      </c>
      <c r="T24" s="481">
        <f t="shared" si="0"/>
        <v>0</v>
      </c>
    </row>
    <row r="25" spans="1:20">
      <c r="A25" s="472">
        <v>30</v>
      </c>
      <c r="B25" s="492" t="s">
        <v>163</v>
      </c>
      <c r="C25" s="473">
        <v>1146</v>
      </c>
      <c r="D25" s="474">
        <f>Tabela1154[[#This Row],[MATRICULADOS 1° Semestre 2024]]*0.075</f>
        <v>85.95</v>
      </c>
      <c r="E25" s="475">
        <v>2</v>
      </c>
      <c r="F25" s="476">
        <f>IF(Tabela1154[[#This Row],[INSCRITOS - Escola de Inovadores - 1° Semestre 2024]]&lt;Tabela1154[[#This Row],[Linha de Base (7,5%) 1°Semestre]],0,1)</f>
        <v>0</v>
      </c>
      <c r="G25" s="477">
        <f>IF(Tabela1154[[#This Row],[Percentual INSCRITOS - Escola de Inovadores - 2024]]&gt;0,Tabela1154[[#This Row],[Percentual INSCRITOS - Escola de Inovadores - 2024]]*0.6,0)</f>
        <v>0</v>
      </c>
      <c r="H25" s="475">
        <v>0</v>
      </c>
      <c r="I25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25" s="476">
        <f>IF(Tabela1154[[#This Row],[X = Percentual de inscritos na escola de inovadores para o cumprimento de meta ( Peso 0,60)]]=0, 0, Tabela1154[[#This Row],[Percentual CONCLUINTES - Escola de Inovadores 2024]]*0.4)</f>
        <v>0</v>
      </c>
      <c r="K25" s="473">
        <v>1102</v>
      </c>
      <c r="L25" s="478">
        <f>Tabela1154[[#This Row],[Matriculados 2°Semestre em Curso]]*0.075</f>
        <v>82.649999999999991</v>
      </c>
      <c r="M25" s="479">
        <v>20</v>
      </c>
      <c r="N25" s="480">
        <f>IF(Tabela1154[[#This Row],[INSCRITOS - Escola de Inovadores - 2°Semestre 2024]]&lt;Tabela1154[[#This Row],[Linha de Base (7,5%) 2°Semestre]], 0,1)</f>
        <v>0</v>
      </c>
      <c r="O25" s="480">
        <f>IF(Tabela1154[[#This Row],[Taxa de Inscritos 2° Semestre 2024]]&gt;0,Tabela1154[[#This Row],[Taxa de Inscritos 2° Semestre 2024]]*0.6,0)</f>
        <v>0</v>
      </c>
      <c r="P25" s="479">
        <v>6</v>
      </c>
      <c r="Q25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25" s="480">
        <f>IF(Tabela1154[[#This Row],[Percentual CONCLUINTES - Escola de Inovadores 2024 2°Semestre]]&gt;0,Tabela1154[[#This Row],[Percentual CONCLUINTES - Escola de Inovadores 2024 2°Semestre]]*0.4,0)</f>
        <v>0</v>
      </c>
      <c r="S25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25" s="481">
        <f t="shared" si="0"/>
        <v>0</v>
      </c>
    </row>
    <row r="26" spans="1:20">
      <c r="A26" s="472">
        <v>31</v>
      </c>
      <c r="B26" s="492" t="s">
        <v>119</v>
      </c>
      <c r="C26" s="473">
        <v>620</v>
      </c>
      <c r="D26" s="474">
        <f>Tabela1154[[#This Row],[MATRICULADOS 1° Semestre 2024]]*0.075</f>
        <v>46.5</v>
      </c>
      <c r="E26" s="475">
        <v>55</v>
      </c>
      <c r="F26" s="476">
        <f>IF(Tabela1154[[#This Row],[INSCRITOS - Escola de Inovadores - 1° Semestre 2024]]&lt;Tabela1154[[#This Row],[Linha de Base (7,5%) 1°Semestre]],0,1)</f>
        <v>1</v>
      </c>
      <c r="G26" s="477">
        <f>IF(Tabela1154[[#This Row],[Percentual INSCRITOS - Escola de Inovadores - 2024]]&gt;0,Tabela1154[[#This Row],[Percentual INSCRITOS - Escola de Inovadores - 2024]]*0.6,0)</f>
        <v>0.6</v>
      </c>
      <c r="H26" s="475">
        <v>6</v>
      </c>
      <c r="I26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0.12903225806451613</v>
      </c>
      <c r="J26" s="476">
        <f>IF(Tabela1154[[#This Row],[X = Percentual de inscritos na escola de inovadores para o cumprimento de meta ( Peso 0,60)]]=0, 0, Tabela1154[[#This Row],[Percentual CONCLUINTES - Escola de Inovadores 2024]]*0.4)</f>
        <v>5.1612903225806452E-2</v>
      </c>
      <c r="K26" s="473">
        <v>527</v>
      </c>
      <c r="L26" s="478">
        <f>Tabela1154[[#This Row],[Matriculados 2°Semestre em Curso]]*0.075</f>
        <v>39.524999999999999</v>
      </c>
      <c r="M26" s="479">
        <v>67</v>
      </c>
      <c r="N26" s="480">
        <f>IF(Tabela1154[[#This Row],[INSCRITOS - Escola de Inovadores - 2°Semestre 2024]]&lt;Tabela1154[[#This Row],[Linha de Base (7,5%) 2°Semestre]], 0,1)</f>
        <v>1</v>
      </c>
      <c r="O26" s="480">
        <f>IF(Tabela1154[[#This Row],[Taxa de Inscritos 2° Semestre 2024]]&gt;0,Tabela1154[[#This Row],[Taxa de Inscritos 2° Semestre 2024]]*0.6,0)</f>
        <v>0.6</v>
      </c>
      <c r="P26" s="479">
        <v>5</v>
      </c>
      <c r="Q26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0.1265022137887413</v>
      </c>
      <c r="R26" s="480">
        <f>IF(Tabela1154[[#This Row],[Percentual CONCLUINTES - Escola de Inovadores 2024 2°Semestre]]&gt;0,Tabela1154[[#This Row],[Percentual CONCLUINTES - Escola de Inovadores 2024 2°Semestre]]*0.4,0)</f>
        <v>5.0600885515496519E-2</v>
      </c>
      <c r="S26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0.65110689437065139</v>
      </c>
      <c r="T26" s="481">
        <f t="shared" si="0"/>
        <v>0.7</v>
      </c>
    </row>
    <row r="27" spans="1:20">
      <c r="A27" s="472">
        <v>32</v>
      </c>
      <c r="B27" s="492" t="s">
        <v>222</v>
      </c>
      <c r="C27" s="473">
        <v>507</v>
      </c>
      <c r="D27" s="474">
        <f>Tabela1154[[#This Row],[MATRICULADOS 1° Semestre 2024]]*0.075</f>
        <v>38.024999999999999</v>
      </c>
      <c r="E27" s="475">
        <v>120</v>
      </c>
      <c r="F27" s="476">
        <f>IF(Tabela1154[[#This Row],[INSCRITOS - Escola de Inovadores - 1° Semestre 2024]]&lt;Tabela1154[[#This Row],[Linha de Base (7,5%) 1°Semestre]],0,1)</f>
        <v>1</v>
      </c>
      <c r="G27" s="477">
        <f>IF(Tabela1154[[#This Row],[Percentual INSCRITOS - Escola de Inovadores - 2024]]&gt;0,Tabela1154[[#This Row],[Percentual INSCRITOS - Escola de Inovadores - 2024]]*0.6,0)</f>
        <v>0.6</v>
      </c>
      <c r="H27" s="475">
        <v>24</v>
      </c>
      <c r="I27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0.63116370808678501</v>
      </c>
      <c r="J27" s="476">
        <f>IF(Tabela1154[[#This Row],[X = Percentual de inscritos na escola de inovadores para o cumprimento de meta ( Peso 0,60)]]=0, 0, Tabela1154[[#This Row],[Percentual CONCLUINTES - Escola de Inovadores 2024]]*0.4)</f>
        <v>0.25246548323471402</v>
      </c>
      <c r="K27" s="473">
        <v>431</v>
      </c>
      <c r="L27" s="478">
        <f>Tabela1154[[#This Row],[Matriculados 2°Semestre em Curso]]*0.075</f>
        <v>32.324999999999996</v>
      </c>
      <c r="M27" s="479">
        <v>16</v>
      </c>
      <c r="N27" s="480">
        <f>IF(Tabela1154[[#This Row],[INSCRITOS - Escola de Inovadores - 2°Semestre 2024]]&lt;Tabela1154[[#This Row],[Linha de Base (7,5%) 2°Semestre]], 0,1)</f>
        <v>0</v>
      </c>
      <c r="O27" s="480">
        <f>IF(Tabela1154[[#This Row],[Taxa de Inscritos 2° Semestre 2024]]&gt;0,Tabela1154[[#This Row],[Taxa de Inscritos 2° Semestre 2024]]*0.6,0)</f>
        <v>0</v>
      </c>
      <c r="P27" s="479">
        <v>11</v>
      </c>
      <c r="Q27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27" s="480">
        <f>IF(Tabela1154[[#This Row],[Percentual CONCLUINTES - Escola de Inovadores 2024 2°Semestre]]&gt;0,Tabela1154[[#This Row],[Percentual CONCLUINTES - Escola de Inovadores 2024 2°Semestre]]*0.4,0)</f>
        <v>0</v>
      </c>
      <c r="S27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0.42623274161735702</v>
      </c>
      <c r="T27" s="481">
        <f t="shared" si="0"/>
        <v>0.5</v>
      </c>
    </row>
    <row r="28" spans="1:20">
      <c r="A28" s="472">
        <v>33</v>
      </c>
      <c r="B28" s="492" t="s">
        <v>73</v>
      </c>
      <c r="C28" s="473">
        <v>720</v>
      </c>
      <c r="D28" s="474">
        <f>Tabela1154[[#This Row],[MATRICULADOS 1° Semestre 2024]]*0.075</f>
        <v>54</v>
      </c>
      <c r="E28" s="475">
        <v>1</v>
      </c>
      <c r="F28" s="476">
        <f>IF(Tabela1154[[#This Row],[INSCRITOS - Escola de Inovadores - 1° Semestre 2024]]&lt;Tabela1154[[#This Row],[Linha de Base (7,5%) 1°Semestre]],0,1)</f>
        <v>0</v>
      </c>
      <c r="G28" s="477">
        <f>IF(Tabela1154[[#This Row],[Percentual INSCRITOS - Escola de Inovadores - 2024]]&gt;0,Tabela1154[[#This Row],[Percentual INSCRITOS - Escola de Inovadores - 2024]]*0.6,0)</f>
        <v>0</v>
      </c>
      <c r="H28" s="475">
        <v>0</v>
      </c>
      <c r="I28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28" s="476">
        <f>IF(Tabela1154[[#This Row],[X = Percentual de inscritos na escola de inovadores para o cumprimento de meta ( Peso 0,60)]]=0, 0, Tabela1154[[#This Row],[Percentual CONCLUINTES - Escola de Inovadores 2024]]*0.4)</f>
        <v>0</v>
      </c>
      <c r="K28" s="473">
        <v>646</v>
      </c>
      <c r="L28" s="478">
        <f>Tabela1154[[#This Row],[Matriculados 2°Semestre em Curso]]*0.075</f>
        <v>48.449999999999996</v>
      </c>
      <c r="M28" s="479">
        <v>24</v>
      </c>
      <c r="N28" s="480">
        <f>IF(Tabela1154[[#This Row],[INSCRITOS - Escola de Inovadores - 2°Semestre 2024]]&lt;Tabela1154[[#This Row],[Linha de Base (7,5%) 2°Semestre]], 0,1)</f>
        <v>0</v>
      </c>
      <c r="O28" s="480">
        <f>IF(Tabela1154[[#This Row],[Taxa de Inscritos 2° Semestre 2024]]&gt;0,Tabela1154[[#This Row],[Taxa de Inscritos 2° Semestre 2024]]*0.6,0)</f>
        <v>0</v>
      </c>
      <c r="P28" s="479">
        <v>3</v>
      </c>
      <c r="Q28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28" s="480">
        <f>IF(Tabela1154[[#This Row],[Percentual CONCLUINTES - Escola de Inovadores 2024 2°Semestre]]&gt;0,Tabela1154[[#This Row],[Percentual CONCLUINTES - Escola de Inovadores 2024 2°Semestre]]*0.4,0)</f>
        <v>0</v>
      </c>
      <c r="S28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28" s="481">
        <f t="shared" si="0"/>
        <v>0</v>
      </c>
    </row>
    <row r="29" spans="1:20">
      <c r="A29" s="472">
        <v>34</v>
      </c>
      <c r="B29" s="492" t="s">
        <v>115</v>
      </c>
      <c r="C29" s="473">
        <v>974</v>
      </c>
      <c r="D29" s="474">
        <f>Tabela1154[[#This Row],[MATRICULADOS 1° Semestre 2024]]*0.075</f>
        <v>73.05</v>
      </c>
      <c r="E29" s="475">
        <v>18</v>
      </c>
      <c r="F29" s="476">
        <f>IF(Tabela1154[[#This Row],[INSCRITOS - Escola de Inovadores - 1° Semestre 2024]]&lt;Tabela1154[[#This Row],[Linha de Base (7,5%) 1°Semestre]],0,1)</f>
        <v>0</v>
      </c>
      <c r="G29" s="477">
        <f>IF(Tabela1154[[#This Row],[Percentual INSCRITOS - Escola de Inovadores - 2024]]&gt;0,Tabela1154[[#This Row],[Percentual INSCRITOS - Escola de Inovadores - 2024]]*0.6,0)</f>
        <v>0</v>
      </c>
      <c r="H29" s="475">
        <v>0</v>
      </c>
      <c r="I29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29" s="476">
        <f>IF(Tabela1154[[#This Row],[X = Percentual de inscritos na escola de inovadores para o cumprimento de meta ( Peso 0,60)]]=0, 0, Tabela1154[[#This Row],[Percentual CONCLUINTES - Escola de Inovadores 2024]]*0.4)</f>
        <v>0</v>
      </c>
      <c r="K29" s="473">
        <v>944</v>
      </c>
      <c r="L29" s="478">
        <f>Tabela1154[[#This Row],[Matriculados 2°Semestre em Curso]]*0.075</f>
        <v>70.8</v>
      </c>
      <c r="M29" s="479">
        <v>91</v>
      </c>
      <c r="N29" s="480">
        <f>IF(Tabela1154[[#This Row],[INSCRITOS - Escola de Inovadores - 2°Semestre 2024]]&lt;Tabela1154[[#This Row],[Linha de Base (7,5%) 2°Semestre]], 0,1)</f>
        <v>1</v>
      </c>
      <c r="O29" s="480">
        <f>IF(Tabela1154[[#This Row],[Taxa de Inscritos 2° Semestre 2024]]&gt;0,Tabela1154[[#This Row],[Taxa de Inscritos 2° Semestre 2024]]*0.6,0)</f>
        <v>0.6</v>
      </c>
      <c r="P29" s="479">
        <v>5</v>
      </c>
      <c r="Q29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7.0621468926553674E-2</v>
      </c>
      <c r="R29" s="480">
        <f>IF(Tabela1154[[#This Row],[Percentual CONCLUINTES - Escola de Inovadores 2024 2°Semestre]]&gt;0,Tabela1154[[#This Row],[Percentual CONCLUINTES - Escola de Inovadores 2024 2°Semestre]]*0.4,0)</f>
        <v>2.8248587570621472E-2</v>
      </c>
      <c r="S29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0.3141242937853107</v>
      </c>
      <c r="T29" s="481">
        <f t="shared" si="0"/>
        <v>0</v>
      </c>
    </row>
    <row r="30" spans="1:20">
      <c r="A30" s="472">
        <v>35</v>
      </c>
      <c r="B30" s="492" t="s">
        <v>200</v>
      </c>
      <c r="C30" s="473">
        <v>1412</v>
      </c>
      <c r="D30" s="474">
        <f>Tabela1154[[#This Row],[MATRICULADOS 1° Semestre 2024]]*0.075</f>
        <v>105.89999999999999</v>
      </c>
      <c r="E30" s="475">
        <v>103</v>
      </c>
      <c r="F30" s="476">
        <f>IF(Tabela1154[[#This Row],[INSCRITOS - Escola de Inovadores - 1° Semestre 2024]]&lt;Tabela1154[[#This Row],[Linha de Base (7,5%) 1°Semestre]],0,1)</f>
        <v>0</v>
      </c>
      <c r="G30" s="477">
        <f>IF(Tabela1154[[#This Row],[Percentual INSCRITOS - Escola de Inovadores - 2024]]&gt;0,Tabela1154[[#This Row],[Percentual INSCRITOS - Escola de Inovadores - 2024]]*0.6,0)</f>
        <v>0</v>
      </c>
      <c r="H30" s="475">
        <v>59</v>
      </c>
      <c r="I30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30" s="476">
        <f>IF(Tabela1154[[#This Row],[X = Percentual de inscritos na escola de inovadores para o cumprimento de meta ( Peso 0,60)]]=0, 0, Tabela1154[[#This Row],[Percentual CONCLUINTES - Escola de Inovadores 2024]]*0.4)</f>
        <v>0</v>
      </c>
      <c r="K30" s="473">
        <v>1374</v>
      </c>
      <c r="L30" s="478">
        <f>Tabela1154[[#This Row],[Matriculados 2°Semestre em Curso]]*0.075</f>
        <v>103.05</v>
      </c>
      <c r="M30" s="479">
        <v>50</v>
      </c>
      <c r="N30" s="480">
        <f>IF(Tabela1154[[#This Row],[INSCRITOS - Escola de Inovadores - 2°Semestre 2024]]&lt;Tabela1154[[#This Row],[Linha de Base (7,5%) 2°Semestre]], 0,1)</f>
        <v>0</v>
      </c>
      <c r="O30" s="480">
        <f>IF(Tabela1154[[#This Row],[Taxa de Inscritos 2° Semestre 2024]]&gt;0,Tabela1154[[#This Row],[Taxa de Inscritos 2° Semestre 2024]]*0.6,0)</f>
        <v>0</v>
      </c>
      <c r="P30" s="479">
        <v>8</v>
      </c>
      <c r="Q30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30" s="480">
        <f>IF(Tabela1154[[#This Row],[Percentual CONCLUINTES - Escola de Inovadores 2024 2°Semestre]]&gt;0,Tabela1154[[#This Row],[Percentual CONCLUINTES - Escola de Inovadores 2024 2°Semestre]]*0.4,0)</f>
        <v>0</v>
      </c>
      <c r="S30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30" s="481">
        <f t="shared" si="0"/>
        <v>0</v>
      </c>
    </row>
    <row r="31" spans="1:20">
      <c r="A31" s="472">
        <v>36</v>
      </c>
      <c r="B31" s="492" t="s">
        <v>144</v>
      </c>
      <c r="C31" s="473">
        <v>1129</v>
      </c>
      <c r="D31" s="474">
        <f>Tabela1154[[#This Row],[MATRICULADOS 1° Semestre 2024]]*0.075</f>
        <v>84.674999999999997</v>
      </c>
      <c r="E31" s="475">
        <v>8</v>
      </c>
      <c r="F31" s="476">
        <f>IF(Tabela1154[[#This Row],[INSCRITOS - Escola de Inovadores - 1° Semestre 2024]]&lt;Tabela1154[[#This Row],[Linha de Base (7,5%) 1°Semestre]],0,1)</f>
        <v>0</v>
      </c>
      <c r="G31" s="477">
        <f>IF(Tabela1154[[#This Row],[Percentual INSCRITOS - Escola de Inovadores - 2024]]&gt;0,Tabela1154[[#This Row],[Percentual INSCRITOS - Escola de Inovadores - 2024]]*0.6,0)</f>
        <v>0</v>
      </c>
      <c r="H31" s="475">
        <v>2</v>
      </c>
      <c r="I31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31" s="476">
        <f>IF(Tabela1154[[#This Row],[X = Percentual de inscritos na escola de inovadores para o cumprimento de meta ( Peso 0,60)]]=0, 0, Tabela1154[[#This Row],[Percentual CONCLUINTES - Escola de Inovadores 2024]]*0.4)</f>
        <v>0</v>
      </c>
      <c r="K31" s="473">
        <v>1044</v>
      </c>
      <c r="L31" s="478">
        <f>Tabela1154[[#This Row],[Matriculados 2°Semestre em Curso]]*0.075</f>
        <v>78.3</v>
      </c>
      <c r="M31" s="479">
        <v>136</v>
      </c>
      <c r="N31" s="480">
        <f>IF(Tabela1154[[#This Row],[INSCRITOS - Escola de Inovadores - 2°Semestre 2024]]&lt;Tabela1154[[#This Row],[Linha de Base (7,5%) 2°Semestre]], 0,1)</f>
        <v>1</v>
      </c>
      <c r="O31" s="480">
        <f>IF(Tabela1154[[#This Row],[Taxa de Inscritos 2° Semestre 2024]]&gt;0,Tabela1154[[#This Row],[Taxa de Inscritos 2° Semestre 2024]]*0.6,0)</f>
        <v>0.6</v>
      </c>
      <c r="P31" s="479">
        <v>3</v>
      </c>
      <c r="Q31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3.8314176245210732E-2</v>
      </c>
      <c r="R31" s="480">
        <f>IF(Tabela1154[[#This Row],[Percentual CONCLUINTES - Escola de Inovadores 2024 2°Semestre]]&gt;0,Tabela1154[[#This Row],[Percentual CONCLUINTES - Escola de Inovadores 2024 2°Semestre]]*0.4,0)</f>
        <v>1.5325670498084294E-2</v>
      </c>
      <c r="S31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0.30766283524904214</v>
      </c>
      <c r="T31" s="481">
        <f t="shared" si="0"/>
        <v>0</v>
      </c>
    </row>
    <row r="32" spans="1:20">
      <c r="A32" s="472">
        <v>37</v>
      </c>
      <c r="B32" s="492" t="s">
        <v>95</v>
      </c>
      <c r="C32" s="473">
        <v>620</v>
      </c>
      <c r="D32" s="474">
        <f>Tabela1154[[#This Row],[MATRICULADOS 1° Semestre 2024]]*0.075</f>
        <v>46.5</v>
      </c>
      <c r="E32" s="475">
        <v>334</v>
      </c>
      <c r="F32" s="476">
        <f>IF(Tabela1154[[#This Row],[INSCRITOS - Escola de Inovadores - 1° Semestre 2024]]&lt;Tabela1154[[#This Row],[Linha de Base (7,5%) 1°Semestre]],0,1)</f>
        <v>1</v>
      </c>
      <c r="G32" s="477">
        <f>IF(Tabela1154[[#This Row],[Percentual INSCRITOS - Escola de Inovadores - 2024]]&gt;0,Tabela1154[[#This Row],[Percentual INSCRITOS - Escola de Inovadores - 2024]]*0.6,0)</f>
        <v>0.6</v>
      </c>
      <c r="H32" s="475">
        <v>114</v>
      </c>
      <c r="I32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32" s="476">
        <f>IF(Tabela1154[[#This Row],[X = Percentual de inscritos na escola de inovadores para o cumprimento de meta ( Peso 0,60)]]=0, 0, Tabela1154[[#This Row],[Percentual CONCLUINTES - Escola de Inovadores 2024]]*0.4)</f>
        <v>0.4</v>
      </c>
      <c r="K32" s="473">
        <v>593</v>
      </c>
      <c r="L32" s="478">
        <f>Tabela1154[[#This Row],[Matriculados 2°Semestre em Curso]]*0.075</f>
        <v>44.475000000000001</v>
      </c>
      <c r="M32" s="479">
        <v>1</v>
      </c>
      <c r="N32" s="480">
        <f>IF(Tabela1154[[#This Row],[INSCRITOS - Escola de Inovadores - 2°Semestre 2024]]&lt;Tabela1154[[#This Row],[Linha de Base (7,5%) 2°Semestre]], 0,1)</f>
        <v>0</v>
      </c>
      <c r="O32" s="480">
        <f>IF(Tabela1154[[#This Row],[Taxa de Inscritos 2° Semestre 2024]]&gt;0,Tabela1154[[#This Row],[Taxa de Inscritos 2° Semestre 2024]]*0.6,0)</f>
        <v>0</v>
      </c>
      <c r="P32" s="479">
        <v>0</v>
      </c>
      <c r="Q32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32" s="480">
        <f>IF(Tabela1154[[#This Row],[Percentual CONCLUINTES - Escola de Inovadores 2024 2°Semestre]]&gt;0,Tabela1154[[#This Row],[Percentual CONCLUINTES - Escola de Inovadores 2024 2°Semestre]]*0.4,0)</f>
        <v>0</v>
      </c>
      <c r="S32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32" s="481">
        <f t="shared" si="0"/>
        <v>0.6</v>
      </c>
    </row>
    <row r="33" spans="1:20">
      <c r="A33" s="472">
        <v>38</v>
      </c>
      <c r="B33" s="492" t="s">
        <v>130</v>
      </c>
      <c r="C33" s="473">
        <v>362</v>
      </c>
      <c r="D33" s="474">
        <f>Tabela1154[[#This Row],[MATRICULADOS 1° Semestre 2024]]*0.075</f>
        <v>27.15</v>
      </c>
      <c r="E33" s="475">
        <v>1</v>
      </c>
      <c r="F33" s="476">
        <f>IF(Tabela1154[[#This Row],[INSCRITOS - Escola de Inovadores - 1° Semestre 2024]]&lt;Tabela1154[[#This Row],[Linha de Base (7,5%) 1°Semestre]],0,1)</f>
        <v>0</v>
      </c>
      <c r="G33" s="477">
        <f>IF(Tabela1154[[#This Row],[Percentual INSCRITOS - Escola de Inovadores - 2024]]&gt;0,Tabela1154[[#This Row],[Percentual INSCRITOS - Escola de Inovadores - 2024]]*0.6,0)</f>
        <v>0</v>
      </c>
      <c r="H33" s="475">
        <v>1</v>
      </c>
      <c r="I33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33" s="476">
        <f>IF(Tabela1154[[#This Row],[X = Percentual de inscritos na escola de inovadores para o cumprimento de meta ( Peso 0,60)]]=0, 0, Tabela1154[[#This Row],[Percentual CONCLUINTES - Escola de Inovadores 2024]]*0.4)</f>
        <v>0</v>
      </c>
      <c r="K33" s="473">
        <v>346</v>
      </c>
      <c r="L33" s="478">
        <f>Tabela1154[[#This Row],[Matriculados 2°Semestre em Curso]]*0.075</f>
        <v>25.95</v>
      </c>
      <c r="M33" s="479">
        <v>21</v>
      </c>
      <c r="N33" s="480">
        <f>IF(Tabela1154[[#This Row],[INSCRITOS - Escola de Inovadores - 2°Semestre 2024]]&lt;Tabela1154[[#This Row],[Linha de Base (7,5%) 2°Semestre]], 0,1)</f>
        <v>0</v>
      </c>
      <c r="O33" s="480">
        <f>IF(Tabela1154[[#This Row],[Taxa de Inscritos 2° Semestre 2024]]&gt;0,Tabela1154[[#This Row],[Taxa de Inscritos 2° Semestre 2024]]*0.6,0)</f>
        <v>0</v>
      </c>
      <c r="P33" s="479">
        <v>11</v>
      </c>
      <c r="Q33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33" s="480">
        <f>IF(Tabela1154[[#This Row],[Percentual CONCLUINTES - Escola de Inovadores 2024 2°Semestre]]&gt;0,Tabela1154[[#This Row],[Percentual CONCLUINTES - Escola de Inovadores 2024 2°Semestre]]*0.4,0)</f>
        <v>0</v>
      </c>
      <c r="S33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33" s="481">
        <f t="shared" si="0"/>
        <v>0</v>
      </c>
    </row>
    <row r="34" spans="1:20">
      <c r="A34" s="472">
        <v>39</v>
      </c>
      <c r="B34" s="492" t="s">
        <v>45</v>
      </c>
      <c r="C34" s="473">
        <v>582</v>
      </c>
      <c r="D34" s="474">
        <f>Tabela1154[[#This Row],[MATRICULADOS 1° Semestre 2024]]*0.075</f>
        <v>43.65</v>
      </c>
      <c r="E34" s="475">
        <v>77</v>
      </c>
      <c r="F34" s="476">
        <f>IF(Tabela1154[[#This Row],[INSCRITOS - Escola de Inovadores - 1° Semestre 2024]]&lt;Tabela1154[[#This Row],[Linha de Base (7,5%) 1°Semestre]],0,1)</f>
        <v>1</v>
      </c>
      <c r="G34" s="477">
        <f>IF(Tabela1154[[#This Row],[Percentual INSCRITOS - Escola de Inovadores - 2024]]&gt;0,Tabela1154[[#This Row],[Percentual INSCRITOS - Escola de Inovadores - 2024]]*0.6,0)</f>
        <v>0.6</v>
      </c>
      <c r="H34" s="475">
        <v>40</v>
      </c>
      <c r="I34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0.91638029782359687</v>
      </c>
      <c r="J34" s="476">
        <f>IF(Tabela1154[[#This Row],[X = Percentual de inscritos na escola de inovadores para o cumprimento de meta ( Peso 0,60)]]=0, 0, Tabela1154[[#This Row],[Percentual CONCLUINTES - Escola de Inovadores 2024]]*0.4)</f>
        <v>0.36655211912943875</v>
      </c>
      <c r="K34" s="473">
        <v>573</v>
      </c>
      <c r="L34" s="478">
        <f>Tabela1154[[#This Row],[Matriculados 2°Semestre em Curso]]*0.075</f>
        <v>42.975000000000001</v>
      </c>
      <c r="M34" s="479">
        <v>0</v>
      </c>
      <c r="N34" s="480">
        <f>IF(Tabela1154[[#This Row],[INSCRITOS - Escola de Inovadores - 2°Semestre 2024]]&lt;Tabela1154[[#This Row],[Linha de Base (7,5%) 2°Semestre]], 0,1)</f>
        <v>0</v>
      </c>
      <c r="O34" s="480">
        <f>IF(Tabela1154[[#This Row],[Taxa de Inscritos 2° Semestre 2024]]&gt;0,Tabela1154[[#This Row],[Taxa de Inscritos 2° Semestre 2024]]*0.6,0)</f>
        <v>0</v>
      </c>
      <c r="P34" s="479">
        <v>0</v>
      </c>
      <c r="Q34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34" s="480">
        <f>IF(Tabela1154[[#This Row],[Percentual CONCLUINTES - Escola de Inovadores 2024 2°Semestre]]&gt;0,Tabela1154[[#This Row],[Percentual CONCLUINTES - Escola de Inovadores 2024 2°Semestre]]*0.4,0)</f>
        <v>0</v>
      </c>
      <c r="S34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0.48327605956471936</v>
      </c>
      <c r="T34" s="481">
        <f t="shared" si="0"/>
        <v>0.5</v>
      </c>
    </row>
    <row r="35" spans="1:20">
      <c r="A35" s="472">
        <v>40</v>
      </c>
      <c r="B35" s="492" t="s">
        <v>126</v>
      </c>
      <c r="C35" s="473">
        <v>485</v>
      </c>
      <c r="D35" s="474">
        <f>Tabela1154[[#This Row],[MATRICULADOS 1° Semestre 2024]]*0.075</f>
        <v>36.375</v>
      </c>
      <c r="E35" s="475">
        <v>74</v>
      </c>
      <c r="F35" s="476">
        <f>IF(Tabela1154[[#This Row],[INSCRITOS - Escola de Inovadores - 1° Semestre 2024]]&lt;Tabela1154[[#This Row],[Linha de Base (7,5%) 1°Semestre]],0,1)</f>
        <v>1</v>
      </c>
      <c r="G35" s="477">
        <f>IF(Tabela1154[[#This Row],[Percentual INSCRITOS - Escola de Inovadores - 2024]]&gt;0,Tabela1154[[#This Row],[Percentual INSCRITOS - Escola de Inovadores - 2024]]*0.6,0)</f>
        <v>0.6</v>
      </c>
      <c r="H35" s="475">
        <v>58</v>
      </c>
      <c r="I35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35" s="476">
        <f>IF(Tabela1154[[#This Row],[X = Percentual de inscritos na escola de inovadores para o cumprimento de meta ( Peso 0,60)]]=0, 0, Tabela1154[[#This Row],[Percentual CONCLUINTES - Escola de Inovadores 2024]]*0.4)</f>
        <v>0.4</v>
      </c>
      <c r="K35" s="473">
        <v>477</v>
      </c>
      <c r="L35" s="478">
        <f>Tabela1154[[#This Row],[Matriculados 2°Semestre em Curso]]*0.075</f>
        <v>35.774999999999999</v>
      </c>
      <c r="M35" s="479">
        <v>19</v>
      </c>
      <c r="N35" s="480">
        <f>IF(Tabela1154[[#This Row],[INSCRITOS - Escola de Inovadores - 2°Semestre 2024]]&lt;Tabela1154[[#This Row],[Linha de Base (7,5%) 2°Semestre]], 0,1)</f>
        <v>0</v>
      </c>
      <c r="O35" s="480">
        <f>IF(Tabela1154[[#This Row],[Taxa de Inscritos 2° Semestre 2024]]&gt;0,Tabela1154[[#This Row],[Taxa de Inscritos 2° Semestre 2024]]*0.6,0)</f>
        <v>0</v>
      </c>
      <c r="P35" s="479">
        <v>12</v>
      </c>
      <c r="Q35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35" s="480">
        <f>IF(Tabela1154[[#This Row],[Percentual CONCLUINTES - Escola de Inovadores 2024 2°Semestre]]&gt;0,Tabela1154[[#This Row],[Percentual CONCLUINTES - Escola de Inovadores 2024 2°Semestre]]*0.4,0)</f>
        <v>0</v>
      </c>
      <c r="S35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35" s="481">
        <f t="shared" si="0"/>
        <v>0.6</v>
      </c>
    </row>
    <row r="36" spans="1:20">
      <c r="A36" s="472">
        <v>41</v>
      </c>
      <c r="B36" s="492" t="s">
        <v>58</v>
      </c>
      <c r="C36" s="473">
        <v>1486</v>
      </c>
      <c r="D36" s="474">
        <f>Tabela1154[[#This Row],[MATRICULADOS 1° Semestre 2024]]*0.075</f>
        <v>111.45</v>
      </c>
      <c r="E36" s="475">
        <v>149</v>
      </c>
      <c r="F36" s="476">
        <f>IF(Tabela1154[[#This Row],[INSCRITOS - Escola de Inovadores - 1° Semestre 2024]]&lt;Tabela1154[[#This Row],[Linha de Base (7,5%) 1°Semestre]],0,1)</f>
        <v>1</v>
      </c>
      <c r="G36" s="477">
        <f>IF(Tabela1154[[#This Row],[Percentual INSCRITOS - Escola de Inovadores - 2024]]&gt;0,Tabela1154[[#This Row],[Percentual INSCRITOS - Escola de Inovadores - 2024]]*0.6,0)</f>
        <v>0.6</v>
      </c>
      <c r="H36" s="475">
        <v>0</v>
      </c>
      <c r="I36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36" s="476">
        <f>IF(Tabela1154[[#This Row],[X = Percentual de inscritos na escola de inovadores para o cumprimento de meta ( Peso 0,60)]]=0, 0, Tabela1154[[#This Row],[Percentual CONCLUINTES - Escola de Inovadores 2024]]*0.4)</f>
        <v>0</v>
      </c>
      <c r="K36" s="473">
        <v>1571</v>
      </c>
      <c r="L36" s="478">
        <f>Tabela1154[[#This Row],[Matriculados 2°Semestre em Curso]]*0.075</f>
        <v>117.82499999999999</v>
      </c>
      <c r="M36" s="479">
        <v>97</v>
      </c>
      <c r="N36" s="480">
        <f>IF(Tabela1154[[#This Row],[INSCRITOS - Escola de Inovadores - 2°Semestre 2024]]&lt;Tabela1154[[#This Row],[Linha de Base (7,5%) 2°Semestre]], 0,1)</f>
        <v>0</v>
      </c>
      <c r="O36" s="480">
        <f>IF(Tabela1154[[#This Row],[Taxa de Inscritos 2° Semestre 2024]]&gt;0,Tabela1154[[#This Row],[Taxa de Inscritos 2° Semestre 2024]]*0.6,0)</f>
        <v>0</v>
      </c>
      <c r="P36" s="479">
        <v>1</v>
      </c>
      <c r="Q36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36" s="480">
        <f>IF(Tabela1154[[#This Row],[Percentual CONCLUINTES - Escola de Inovadores 2024 2°Semestre]]&gt;0,Tabela1154[[#This Row],[Percentual CONCLUINTES - Escola de Inovadores 2024 2°Semestre]]*0.4,0)</f>
        <v>0</v>
      </c>
      <c r="S36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</v>
      </c>
      <c r="T36" s="481">
        <f t="shared" si="0"/>
        <v>0</v>
      </c>
    </row>
    <row r="37" spans="1:20">
      <c r="A37" s="472">
        <v>42</v>
      </c>
      <c r="B37" s="492" t="s">
        <v>52</v>
      </c>
      <c r="C37" s="473">
        <v>940</v>
      </c>
      <c r="D37" s="474">
        <f>Tabela1154[[#This Row],[MATRICULADOS 1° Semestre 2024]]*0.075</f>
        <v>70.5</v>
      </c>
      <c r="E37" s="475">
        <v>16</v>
      </c>
      <c r="F37" s="476">
        <f>IF(Tabela1154[[#This Row],[INSCRITOS - Escola de Inovadores - 1° Semestre 2024]]&lt;Tabela1154[[#This Row],[Linha de Base (7,5%) 1°Semestre]],0,1)</f>
        <v>0</v>
      </c>
      <c r="G37" s="477">
        <f>IF(Tabela1154[[#This Row],[Percentual INSCRITOS - Escola de Inovadores - 2024]]&gt;0,Tabela1154[[#This Row],[Percentual INSCRITOS - Escola de Inovadores - 2024]]*0.6,0)</f>
        <v>0</v>
      </c>
      <c r="H37" s="475">
        <v>3</v>
      </c>
      <c r="I37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37" s="476">
        <f>IF(Tabela1154[[#This Row],[X = Percentual de inscritos na escola de inovadores para o cumprimento de meta ( Peso 0,60)]]=0, 0, Tabela1154[[#This Row],[Percentual CONCLUINTES - Escola de Inovadores 2024]]*0.4)</f>
        <v>0</v>
      </c>
      <c r="K37" s="473">
        <v>831</v>
      </c>
      <c r="L37" s="478">
        <f>Tabela1154[[#This Row],[Matriculados 2°Semestre em Curso]]*0.075</f>
        <v>62.324999999999996</v>
      </c>
      <c r="M37" s="479">
        <v>39</v>
      </c>
      <c r="N37" s="480">
        <f>IF(Tabela1154[[#This Row],[INSCRITOS - Escola de Inovadores - 2°Semestre 2024]]&lt;Tabela1154[[#This Row],[Linha de Base (7,5%) 2°Semestre]], 0,1)</f>
        <v>0</v>
      </c>
      <c r="O37" s="480">
        <f>IF(Tabela1154[[#This Row],[Taxa de Inscritos 2° Semestre 2024]]&gt;0,Tabela1154[[#This Row],[Taxa de Inscritos 2° Semestre 2024]]*0.6,0)</f>
        <v>0</v>
      </c>
      <c r="P37" s="479">
        <v>1</v>
      </c>
      <c r="Q37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37" s="480">
        <f>IF(Tabela1154[[#This Row],[Percentual CONCLUINTES - Escola de Inovadores 2024 2°Semestre]]&gt;0,Tabela1154[[#This Row],[Percentual CONCLUINTES - Escola de Inovadores 2024 2°Semestre]]*0.4,0)</f>
        <v>0</v>
      </c>
      <c r="S37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37" s="481">
        <f t="shared" si="0"/>
        <v>0</v>
      </c>
    </row>
    <row r="38" spans="1:20">
      <c r="A38" s="472">
        <v>43</v>
      </c>
      <c r="B38" s="492" t="s">
        <v>175</v>
      </c>
      <c r="C38" s="473">
        <v>1173</v>
      </c>
      <c r="D38" s="474">
        <f>Tabela1154[[#This Row],[MATRICULADOS 1° Semestre 2024]]*0.075</f>
        <v>87.974999999999994</v>
      </c>
      <c r="E38" s="475">
        <v>97</v>
      </c>
      <c r="F38" s="476">
        <f>IF(Tabela1154[[#This Row],[INSCRITOS - Escola de Inovadores - 1° Semestre 2024]]&lt;Tabela1154[[#This Row],[Linha de Base (7,5%) 1°Semestre]],0,1)</f>
        <v>1</v>
      </c>
      <c r="G38" s="477">
        <f>IF(Tabela1154[[#This Row],[Percentual INSCRITOS - Escola de Inovadores - 2024]]&gt;0,Tabela1154[[#This Row],[Percentual INSCRITOS - Escola de Inovadores - 2024]]*0.6,0)</f>
        <v>0.6</v>
      </c>
      <c r="H38" s="475">
        <v>59</v>
      </c>
      <c r="I38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0.67064506962205173</v>
      </c>
      <c r="J38" s="476">
        <f>IF(Tabela1154[[#This Row],[X = Percentual de inscritos na escola de inovadores para o cumprimento de meta ( Peso 0,60)]]=0, 0, Tabela1154[[#This Row],[Percentual CONCLUINTES - Escola de Inovadores 2024]]*0.4)</f>
        <v>0.26825802784882069</v>
      </c>
      <c r="K38" s="473">
        <v>1060</v>
      </c>
      <c r="L38" s="478">
        <f>Tabela1154[[#This Row],[Matriculados 2°Semestre em Curso]]*0.075</f>
        <v>79.5</v>
      </c>
      <c r="M38" s="479">
        <v>325</v>
      </c>
      <c r="N38" s="480">
        <f>IF(Tabela1154[[#This Row],[INSCRITOS - Escola de Inovadores - 2°Semestre 2024]]&lt;Tabela1154[[#This Row],[Linha de Base (7,5%) 2°Semestre]], 0,1)</f>
        <v>1</v>
      </c>
      <c r="O38" s="480">
        <f>IF(Tabela1154[[#This Row],[Taxa de Inscritos 2° Semestre 2024]]&gt;0,Tabela1154[[#This Row],[Taxa de Inscritos 2° Semestre 2024]]*0.6,0)</f>
        <v>0.6</v>
      </c>
      <c r="P38" s="479">
        <v>145</v>
      </c>
      <c r="Q38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1</v>
      </c>
      <c r="R38" s="480">
        <f>IF(Tabela1154[[#This Row],[Percentual CONCLUINTES - Escola de Inovadores 2024 2°Semestre]]&gt;0,Tabela1154[[#This Row],[Percentual CONCLUINTES - Escola de Inovadores 2024 2°Semestre]]*0.4,0)</f>
        <v>0.4</v>
      </c>
      <c r="S38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0.93412901392441028</v>
      </c>
      <c r="T38" s="481">
        <f t="shared" si="0"/>
        <v>1</v>
      </c>
    </row>
    <row r="39" spans="1:20">
      <c r="A39" s="472">
        <v>44</v>
      </c>
      <c r="B39" s="492" t="s">
        <v>94</v>
      </c>
      <c r="C39" s="473">
        <v>581</v>
      </c>
      <c r="D39" s="474">
        <f>Tabela1154[[#This Row],[MATRICULADOS 1° Semestre 2024]]*0.075</f>
        <v>43.574999999999996</v>
      </c>
      <c r="E39" s="475">
        <v>0</v>
      </c>
      <c r="F39" s="476">
        <f>IF(Tabela1154[[#This Row],[INSCRITOS - Escola de Inovadores - 1° Semestre 2024]]&lt;Tabela1154[[#This Row],[Linha de Base (7,5%) 1°Semestre]],0,1)</f>
        <v>0</v>
      </c>
      <c r="G39" s="477">
        <f>IF(Tabela1154[[#This Row],[Percentual INSCRITOS - Escola de Inovadores - 2024]]&gt;0,Tabela1154[[#This Row],[Percentual INSCRITOS - Escola de Inovadores - 2024]]*0.6,0)</f>
        <v>0</v>
      </c>
      <c r="H39" s="475">
        <v>0</v>
      </c>
      <c r="I39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39" s="476">
        <f>IF(Tabela1154[[#This Row],[X = Percentual de inscritos na escola de inovadores para o cumprimento de meta ( Peso 0,60)]]=0, 0, Tabela1154[[#This Row],[Percentual CONCLUINTES - Escola de Inovadores 2024]]*0.4)</f>
        <v>0</v>
      </c>
      <c r="K39" s="473">
        <v>561</v>
      </c>
      <c r="L39" s="478">
        <f>Tabela1154[[#This Row],[Matriculados 2°Semestre em Curso]]*0.075</f>
        <v>42.074999999999996</v>
      </c>
      <c r="M39" s="479">
        <v>78</v>
      </c>
      <c r="N39" s="480">
        <f>IF(Tabela1154[[#This Row],[INSCRITOS - Escola de Inovadores - 2°Semestre 2024]]&lt;Tabela1154[[#This Row],[Linha de Base (7,5%) 2°Semestre]], 0,1)</f>
        <v>1</v>
      </c>
      <c r="O39" s="480">
        <f>IF(Tabela1154[[#This Row],[Taxa de Inscritos 2° Semestre 2024]]&gt;0,Tabela1154[[#This Row],[Taxa de Inscritos 2° Semestre 2024]]*0.6,0)</f>
        <v>0.6</v>
      </c>
      <c r="P39" s="479">
        <v>0</v>
      </c>
      <c r="Q39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39" s="480">
        <f>IF(Tabela1154[[#This Row],[Percentual CONCLUINTES - Escola de Inovadores 2024 2°Semestre]]&gt;0,Tabela1154[[#This Row],[Percentual CONCLUINTES - Escola de Inovadores 2024 2°Semestre]]*0.4,0)</f>
        <v>0</v>
      </c>
      <c r="S39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</v>
      </c>
      <c r="T39" s="481">
        <f t="shared" si="0"/>
        <v>0</v>
      </c>
    </row>
    <row r="40" spans="1:20">
      <c r="A40" s="472">
        <v>45</v>
      </c>
      <c r="B40" s="492" t="s">
        <v>135</v>
      </c>
      <c r="C40" s="473">
        <v>1563</v>
      </c>
      <c r="D40" s="474">
        <f>Tabela1154[[#This Row],[MATRICULADOS 1° Semestre 2024]]*0.075</f>
        <v>117.22499999999999</v>
      </c>
      <c r="E40" s="475">
        <v>81</v>
      </c>
      <c r="F40" s="476">
        <f>IF(Tabela1154[[#This Row],[INSCRITOS - Escola de Inovadores - 1° Semestre 2024]]&lt;Tabela1154[[#This Row],[Linha de Base (7,5%) 1°Semestre]],0,1)</f>
        <v>0</v>
      </c>
      <c r="G40" s="477">
        <f>IF(Tabela1154[[#This Row],[Percentual INSCRITOS - Escola de Inovadores - 2024]]&gt;0,Tabela1154[[#This Row],[Percentual INSCRITOS - Escola de Inovadores - 2024]]*0.6,0)</f>
        <v>0</v>
      </c>
      <c r="H40" s="475">
        <v>1</v>
      </c>
      <c r="I40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40" s="476">
        <f>IF(Tabela1154[[#This Row],[X = Percentual de inscritos na escola de inovadores para o cumprimento de meta ( Peso 0,60)]]=0, 0, Tabela1154[[#This Row],[Percentual CONCLUINTES - Escola de Inovadores 2024]]*0.4)</f>
        <v>0</v>
      </c>
      <c r="K40" s="473">
        <v>1433</v>
      </c>
      <c r="L40" s="478">
        <f>Tabela1154[[#This Row],[Matriculados 2°Semestre em Curso]]*0.075</f>
        <v>107.47499999999999</v>
      </c>
      <c r="M40" s="479">
        <v>19</v>
      </c>
      <c r="N40" s="480">
        <f>IF(Tabela1154[[#This Row],[INSCRITOS - Escola de Inovadores - 2°Semestre 2024]]&lt;Tabela1154[[#This Row],[Linha de Base (7,5%) 2°Semestre]], 0,1)</f>
        <v>0</v>
      </c>
      <c r="O40" s="480">
        <f>IF(Tabela1154[[#This Row],[Taxa de Inscritos 2° Semestre 2024]]&gt;0,Tabela1154[[#This Row],[Taxa de Inscritos 2° Semestre 2024]]*0.6,0)</f>
        <v>0</v>
      </c>
      <c r="P40" s="479">
        <v>1</v>
      </c>
      <c r="Q40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40" s="480">
        <f>IF(Tabela1154[[#This Row],[Percentual CONCLUINTES - Escola de Inovadores 2024 2°Semestre]]&gt;0,Tabela1154[[#This Row],[Percentual CONCLUINTES - Escola de Inovadores 2024 2°Semestre]]*0.4,0)</f>
        <v>0</v>
      </c>
      <c r="S40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40" s="481">
        <f t="shared" si="0"/>
        <v>0</v>
      </c>
    </row>
    <row r="41" spans="1:20">
      <c r="A41" s="472">
        <v>46</v>
      </c>
      <c r="B41" s="492" t="s">
        <v>213</v>
      </c>
      <c r="C41" s="473">
        <v>577</v>
      </c>
      <c r="D41" s="474">
        <f>Tabela1154[[#This Row],[MATRICULADOS 1° Semestre 2024]]*0.075</f>
        <v>43.274999999999999</v>
      </c>
      <c r="E41" s="475">
        <v>2</v>
      </c>
      <c r="F41" s="476">
        <f>IF(Tabela1154[[#This Row],[INSCRITOS - Escola de Inovadores - 1° Semestre 2024]]&lt;Tabela1154[[#This Row],[Linha de Base (7,5%) 1°Semestre]],0,1)</f>
        <v>0</v>
      </c>
      <c r="G41" s="477">
        <f>IF(Tabela1154[[#This Row],[Percentual INSCRITOS - Escola de Inovadores - 2024]]&gt;0,Tabela1154[[#This Row],[Percentual INSCRITOS - Escola de Inovadores - 2024]]*0.6,0)</f>
        <v>0</v>
      </c>
      <c r="H41" s="475">
        <v>1</v>
      </c>
      <c r="I41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41" s="476">
        <f>IF(Tabela1154[[#This Row],[X = Percentual de inscritos na escola de inovadores para o cumprimento de meta ( Peso 0,60)]]=0, 0, Tabela1154[[#This Row],[Percentual CONCLUINTES - Escola de Inovadores 2024]]*0.4)</f>
        <v>0</v>
      </c>
      <c r="K41" s="473">
        <v>557</v>
      </c>
      <c r="L41" s="478">
        <f>Tabela1154[[#This Row],[Matriculados 2°Semestre em Curso]]*0.075</f>
        <v>41.774999999999999</v>
      </c>
      <c r="M41" s="479">
        <v>15</v>
      </c>
      <c r="N41" s="480">
        <f>IF(Tabela1154[[#This Row],[INSCRITOS - Escola de Inovadores - 2°Semestre 2024]]&lt;Tabela1154[[#This Row],[Linha de Base (7,5%) 2°Semestre]], 0,1)</f>
        <v>0</v>
      </c>
      <c r="O41" s="480">
        <f>IF(Tabela1154[[#This Row],[Taxa de Inscritos 2° Semestre 2024]]&gt;0,Tabela1154[[#This Row],[Taxa de Inscritos 2° Semestre 2024]]*0.6,0)</f>
        <v>0</v>
      </c>
      <c r="P41" s="479">
        <v>8</v>
      </c>
      <c r="Q41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41" s="480">
        <f>IF(Tabela1154[[#This Row],[Percentual CONCLUINTES - Escola de Inovadores 2024 2°Semestre]]&gt;0,Tabela1154[[#This Row],[Percentual CONCLUINTES - Escola de Inovadores 2024 2°Semestre]]*0.4,0)</f>
        <v>0</v>
      </c>
      <c r="S41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41" s="481">
        <f t="shared" si="0"/>
        <v>0</v>
      </c>
    </row>
    <row r="42" spans="1:20">
      <c r="A42" s="472">
        <v>47</v>
      </c>
      <c r="B42" s="492" t="s">
        <v>152</v>
      </c>
      <c r="C42" s="473">
        <v>664</v>
      </c>
      <c r="D42" s="474">
        <f>Tabela1154[[#This Row],[MATRICULADOS 1° Semestre 2024]]*0.075</f>
        <v>49.8</v>
      </c>
      <c r="E42" s="475">
        <v>15</v>
      </c>
      <c r="F42" s="476">
        <f>IF(Tabela1154[[#This Row],[INSCRITOS - Escola de Inovadores - 1° Semestre 2024]]&lt;Tabela1154[[#This Row],[Linha de Base (7,5%) 1°Semestre]],0,1)</f>
        <v>0</v>
      </c>
      <c r="G42" s="477">
        <f>IF(Tabela1154[[#This Row],[Percentual INSCRITOS - Escola de Inovadores - 2024]]&gt;0,Tabela1154[[#This Row],[Percentual INSCRITOS - Escola de Inovadores - 2024]]*0.6,0)</f>
        <v>0</v>
      </c>
      <c r="H42" s="475">
        <v>0</v>
      </c>
      <c r="I42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42" s="476">
        <f>IF(Tabela1154[[#This Row],[X = Percentual de inscritos na escola de inovadores para o cumprimento de meta ( Peso 0,60)]]=0, 0, Tabela1154[[#This Row],[Percentual CONCLUINTES - Escola de Inovadores 2024]]*0.4)</f>
        <v>0</v>
      </c>
      <c r="K42" s="473">
        <v>620</v>
      </c>
      <c r="L42" s="478">
        <f>Tabela1154[[#This Row],[Matriculados 2°Semestre em Curso]]*0.075</f>
        <v>46.5</v>
      </c>
      <c r="M42" s="479">
        <v>59</v>
      </c>
      <c r="N42" s="480">
        <f>IF(Tabela1154[[#This Row],[INSCRITOS - Escola de Inovadores - 2°Semestre 2024]]&lt;Tabela1154[[#This Row],[Linha de Base (7,5%) 2°Semestre]], 0,1)</f>
        <v>1</v>
      </c>
      <c r="O42" s="480">
        <f>IF(Tabela1154[[#This Row],[Taxa de Inscritos 2° Semestre 2024]]&gt;0,Tabela1154[[#This Row],[Taxa de Inscritos 2° Semestre 2024]]*0.6,0)</f>
        <v>0.6</v>
      </c>
      <c r="P42" s="479">
        <v>0</v>
      </c>
      <c r="Q42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42" s="480">
        <f>IF(Tabela1154[[#This Row],[Percentual CONCLUINTES - Escola de Inovadores 2024 2°Semestre]]&gt;0,Tabela1154[[#This Row],[Percentual CONCLUINTES - Escola de Inovadores 2024 2°Semestre]]*0.4,0)</f>
        <v>0</v>
      </c>
      <c r="S42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</v>
      </c>
      <c r="T42" s="481">
        <f t="shared" si="0"/>
        <v>0</v>
      </c>
    </row>
    <row r="43" spans="1:20">
      <c r="A43" s="472">
        <v>48</v>
      </c>
      <c r="B43" s="492" t="s">
        <v>146</v>
      </c>
      <c r="C43" s="473">
        <v>685</v>
      </c>
      <c r="D43" s="474">
        <f>Tabela1154[[#This Row],[MATRICULADOS 1° Semestre 2024]]*0.075</f>
        <v>51.375</v>
      </c>
      <c r="E43" s="475">
        <v>6</v>
      </c>
      <c r="F43" s="476">
        <f>IF(Tabela1154[[#This Row],[INSCRITOS - Escola de Inovadores - 1° Semestre 2024]]&lt;Tabela1154[[#This Row],[Linha de Base (7,5%) 1°Semestre]],0,1)</f>
        <v>0</v>
      </c>
      <c r="G43" s="477">
        <f>IF(Tabela1154[[#This Row],[Percentual INSCRITOS - Escola de Inovadores - 2024]]&gt;0,Tabela1154[[#This Row],[Percentual INSCRITOS - Escola de Inovadores - 2024]]*0.6,0)</f>
        <v>0</v>
      </c>
      <c r="H43" s="475">
        <v>3</v>
      </c>
      <c r="I43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43" s="476">
        <f>IF(Tabela1154[[#This Row],[X = Percentual de inscritos na escola de inovadores para o cumprimento de meta ( Peso 0,60)]]=0, 0, Tabela1154[[#This Row],[Percentual CONCLUINTES - Escola de Inovadores 2024]]*0.4)</f>
        <v>0</v>
      </c>
      <c r="K43" s="473">
        <v>651</v>
      </c>
      <c r="L43" s="478">
        <f>Tabela1154[[#This Row],[Matriculados 2°Semestre em Curso]]*0.075</f>
        <v>48.824999999999996</v>
      </c>
      <c r="M43" s="479">
        <v>60</v>
      </c>
      <c r="N43" s="480">
        <f>IF(Tabela1154[[#This Row],[INSCRITOS - Escola de Inovadores - 2°Semestre 2024]]&lt;Tabela1154[[#This Row],[Linha de Base (7,5%) 2°Semestre]], 0,1)</f>
        <v>1</v>
      </c>
      <c r="O43" s="480">
        <f>IF(Tabela1154[[#This Row],[Taxa de Inscritos 2° Semestre 2024]]&gt;0,Tabela1154[[#This Row],[Taxa de Inscritos 2° Semestre 2024]]*0.6,0)</f>
        <v>0.6</v>
      </c>
      <c r="P43" s="479">
        <v>4</v>
      </c>
      <c r="Q43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8.192524321556581E-2</v>
      </c>
      <c r="R43" s="480">
        <f>IF(Tabela1154[[#This Row],[Percentual CONCLUINTES - Escola de Inovadores 2024 2°Semestre]]&gt;0,Tabela1154[[#This Row],[Percentual CONCLUINTES - Escola de Inovadores 2024 2°Semestre]]*0.4,0)</f>
        <v>3.2770097286226325E-2</v>
      </c>
      <c r="S43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0.31638504864311318</v>
      </c>
      <c r="T43" s="481">
        <f t="shared" si="0"/>
        <v>0</v>
      </c>
    </row>
    <row r="44" spans="1:20">
      <c r="A44" s="472">
        <v>49</v>
      </c>
      <c r="B44" s="492" t="s">
        <v>166</v>
      </c>
      <c r="C44" s="473">
        <v>262</v>
      </c>
      <c r="D44" s="474">
        <f>Tabela1154[[#This Row],[MATRICULADOS 1° Semestre 2024]]*0.075</f>
        <v>19.649999999999999</v>
      </c>
      <c r="E44" s="475">
        <v>0</v>
      </c>
      <c r="F44" s="476">
        <f>IF(Tabela1154[[#This Row],[INSCRITOS - Escola de Inovadores - 1° Semestre 2024]]&lt;Tabela1154[[#This Row],[Linha de Base (7,5%) 1°Semestre]],0,1)</f>
        <v>0</v>
      </c>
      <c r="G44" s="477">
        <f>IF(Tabela1154[[#This Row],[Percentual INSCRITOS - Escola de Inovadores - 2024]]&gt;0,Tabela1154[[#This Row],[Percentual INSCRITOS - Escola de Inovadores - 2024]]*0.6,0)</f>
        <v>0</v>
      </c>
      <c r="H44" s="475">
        <v>0</v>
      </c>
      <c r="I44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44" s="476">
        <f>IF(Tabela1154[[#This Row],[X = Percentual de inscritos na escola de inovadores para o cumprimento de meta ( Peso 0,60)]]=0, 0, Tabela1154[[#This Row],[Percentual CONCLUINTES - Escola de Inovadores 2024]]*0.4)</f>
        <v>0</v>
      </c>
      <c r="K44" s="473">
        <v>243</v>
      </c>
      <c r="L44" s="478">
        <f>Tabela1154[[#This Row],[Matriculados 2°Semestre em Curso]]*0.075</f>
        <v>18.224999999999998</v>
      </c>
      <c r="M44" s="479">
        <v>1</v>
      </c>
      <c r="N44" s="480">
        <f>IF(Tabela1154[[#This Row],[INSCRITOS - Escola de Inovadores - 2°Semestre 2024]]&lt;Tabela1154[[#This Row],[Linha de Base (7,5%) 2°Semestre]], 0,1)</f>
        <v>0</v>
      </c>
      <c r="O44" s="480">
        <f>IF(Tabela1154[[#This Row],[Taxa de Inscritos 2° Semestre 2024]]&gt;0,Tabela1154[[#This Row],[Taxa de Inscritos 2° Semestre 2024]]*0.6,0)</f>
        <v>0</v>
      </c>
      <c r="P44" s="479">
        <v>0</v>
      </c>
      <c r="Q44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44" s="480">
        <f>IF(Tabela1154[[#This Row],[Percentual CONCLUINTES - Escola de Inovadores 2024 2°Semestre]]&gt;0,Tabela1154[[#This Row],[Percentual CONCLUINTES - Escola de Inovadores 2024 2°Semestre]]*0.4,0)</f>
        <v>0</v>
      </c>
      <c r="S44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44" s="481">
        <f t="shared" si="0"/>
        <v>0</v>
      </c>
    </row>
    <row r="45" spans="1:20">
      <c r="A45" s="472">
        <v>50</v>
      </c>
      <c r="B45" s="492" t="s">
        <v>116</v>
      </c>
      <c r="C45" s="473">
        <v>1229</v>
      </c>
      <c r="D45" s="474">
        <f>Tabela1154[[#This Row],[MATRICULADOS 1° Semestre 2024]]*0.075</f>
        <v>92.174999999999997</v>
      </c>
      <c r="E45" s="475">
        <v>6</v>
      </c>
      <c r="F45" s="476">
        <f>IF(Tabela1154[[#This Row],[INSCRITOS - Escola de Inovadores - 1° Semestre 2024]]&lt;Tabela1154[[#This Row],[Linha de Base (7,5%) 1°Semestre]],0,1)</f>
        <v>0</v>
      </c>
      <c r="G45" s="477">
        <f>IF(Tabela1154[[#This Row],[Percentual INSCRITOS - Escola de Inovadores - 2024]]&gt;0,Tabela1154[[#This Row],[Percentual INSCRITOS - Escola de Inovadores - 2024]]*0.6,0)</f>
        <v>0</v>
      </c>
      <c r="H45" s="475">
        <v>0</v>
      </c>
      <c r="I45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45" s="476">
        <f>IF(Tabela1154[[#This Row],[X = Percentual de inscritos na escola de inovadores para o cumprimento de meta ( Peso 0,60)]]=0, 0, Tabela1154[[#This Row],[Percentual CONCLUINTES - Escola de Inovadores 2024]]*0.4)</f>
        <v>0</v>
      </c>
      <c r="K45" s="473">
        <v>1232</v>
      </c>
      <c r="L45" s="478">
        <f>Tabela1154[[#This Row],[Matriculados 2°Semestre em Curso]]*0.075</f>
        <v>92.399999999999991</v>
      </c>
      <c r="M45" s="479">
        <v>7</v>
      </c>
      <c r="N45" s="480">
        <f>IF(Tabela1154[[#This Row],[INSCRITOS - Escola de Inovadores - 2°Semestre 2024]]&lt;Tabela1154[[#This Row],[Linha de Base (7,5%) 2°Semestre]], 0,1)</f>
        <v>0</v>
      </c>
      <c r="O45" s="480">
        <f>IF(Tabela1154[[#This Row],[Taxa de Inscritos 2° Semestre 2024]]&gt;0,Tabela1154[[#This Row],[Taxa de Inscritos 2° Semestre 2024]]*0.6,0)</f>
        <v>0</v>
      </c>
      <c r="P45" s="479">
        <v>1</v>
      </c>
      <c r="Q45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45" s="480">
        <f>IF(Tabela1154[[#This Row],[Percentual CONCLUINTES - Escola de Inovadores 2024 2°Semestre]]&gt;0,Tabela1154[[#This Row],[Percentual CONCLUINTES - Escola de Inovadores 2024 2°Semestre]]*0.4,0)</f>
        <v>0</v>
      </c>
      <c r="S45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45" s="481">
        <f t="shared" si="0"/>
        <v>0</v>
      </c>
    </row>
    <row r="46" spans="1:20">
      <c r="A46" s="472">
        <v>51</v>
      </c>
      <c r="B46" s="492" t="s">
        <v>210</v>
      </c>
      <c r="C46" s="473">
        <v>1091</v>
      </c>
      <c r="D46" s="474">
        <f>Tabela1154[[#This Row],[MATRICULADOS 1° Semestre 2024]]*0.075</f>
        <v>81.825000000000003</v>
      </c>
      <c r="E46" s="475">
        <v>13</v>
      </c>
      <c r="F46" s="476">
        <f>IF(Tabela1154[[#This Row],[INSCRITOS - Escola de Inovadores - 1° Semestre 2024]]&lt;Tabela1154[[#This Row],[Linha de Base (7,5%) 1°Semestre]],0,1)</f>
        <v>0</v>
      </c>
      <c r="G46" s="477">
        <f>IF(Tabela1154[[#This Row],[Percentual INSCRITOS - Escola de Inovadores - 2024]]&gt;0,Tabela1154[[#This Row],[Percentual INSCRITOS - Escola de Inovadores - 2024]]*0.6,0)</f>
        <v>0</v>
      </c>
      <c r="H46" s="475">
        <v>2</v>
      </c>
      <c r="I46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46" s="476">
        <f>IF(Tabela1154[[#This Row],[X = Percentual de inscritos na escola de inovadores para o cumprimento de meta ( Peso 0,60)]]=0, 0, Tabela1154[[#This Row],[Percentual CONCLUINTES - Escola de Inovadores 2024]]*0.4)</f>
        <v>0</v>
      </c>
      <c r="K46" s="473">
        <v>1117</v>
      </c>
      <c r="L46" s="478">
        <f>Tabela1154[[#This Row],[Matriculados 2°Semestre em Curso]]*0.075</f>
        <v>83.774999999999991</v>
      </c>
      <c r="M46" s="479">
        <v>74</v>
      </c>
      <c r="N46" s="480">
        <f>IF(Tabela1154[[#This Row],[INSCRITOS - Escola de Inovadores - 2°Semestre 2024]]&lt;Tabela1154[[#This Row],[Linha de Base (7,5%) 2°Semestre]], 0,1)</f>
        <v>0</v>
      </c>
      <c r="O46" s="480">
        <f>IF(Tabela1154[[#This Row],[Taxa de Inscritos 2° Semestre 2024]]&gt;0,Tabela1154[[#This Row],[Taxa de Inscritos 2° Semestre 2024]]*0.6,0)</f>
        <v>0</v>
      </c>
      <c r="P46" s="479">
        <v>23</v>
      </c>
      <c r="Q46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46" s="480">
        <f>IF(Tabela1154[[#This Row],[Percentual CONCLUINTES - Escola de Inovadores 2024 2°Semestre]]&gt;0,Tabela1154[[#This Row],[Percentual CONCLUINTES - Escola de Inovadores 2024 2°Semestre]]*0.4,0)</f>
        <v>0</v>
      </c>
      <c r="S46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46" s="481">
        <f t="shared" si="0"/>
        <v>0</v>
      </c>
    </row>
    <row r="47" spans="1:20">
      <c r="A47" s="472">
        <v>52</v>
      </c>
      <c r="B47" s="492" t="s">
        <v>197</v>
      </c>
      <c r="C47" s="473">
        <v>604</v>
      </c>
      <c r="D47" s="474">
        <f>Tabela1154[[#This Row],[MATRICULADOS 1° Semestre 2024]]*0.075</f>
        <v>45.3</v>
      </c>
      <c r="E47" s="475">
        <v>93</v>
      </c>
      <c r="F47" s="476">
        <f>IF(Tabela1154[[#This Row],[INSCRITOS - Escola de Inovadores - 1° Semestre 2024]]&lt;Tabela1154[[#This Row],[Linha de Base (7,5%) 1°Semestre]],0,1)</f>
        <v>1</v>
      </c>
      <c r="G47" s="477">
        <f>IF(Tabela1154[[#This Row],[Percentual INSCRITOS - Escola de Inovadores - 2024]]&gt;0,Tabela1154[[#This Row],[Percentual INSCRITOS - Escola de Inovadores - 2024]]*0.6,0)</f>
        <v>0.6</v>
      </c>
      <c r="H47" s="475">
        <v>53</v>
      </c>
      <c r="I47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47" s="476">
        <f>IF(Tabela1154[[#This Row],[X = Percentual de inscritos na escola de inovadores para o cumprimento de meta ( Peso 0,60)]]=0, 0, Tabela1154[[#This Row],[Percentual CONCLUINTES - Escola de Inovadores 2024]]*0.4)</f>
        <v>0.4</v>
      </c>
      <c r="K47" s="473">
        <v>543</v>
      </c>
      <c r="L47" s="478">
        <f>Tabela1154[[#This Row],[Matriculados 2°Semestre em Curso]]*0.075</f>
        <v>40.725000000000001</v>
      </c>
      <c r="M47" s="479">
        <v>16</v>
      </c>
      <c r="N47" s="480">
        <f>IF(Tabela1154[[#This Row],[INSCRITOS - Escola de Inovadores - 2°Semestre 2024]]&lt;Tabela1154[[#This Row],[Linha de Base (7,5%) 2°Semestre]], 0,1)</f>
        <v>0</v>
      </c>
      <c r="O47" s="480">
        <f>IF(Tabela1154[[#This Row],[Taxa de Inscritos 2° Semestre 2024]]&gt;0,Tabela1154[[#This Row],[Taxa de Inscritos 2° Semestre 2024]]*0.6,0)</f>
        <v>0</v>
      </c>
      <c r="P47" s="479">
        <v>3</v>
      </c>
      <c r="Q47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47" s="480">
        <f>IF(Tabela1154[[#This Row],[Percentual CONCLUINTES - Escola de Inovadores 2024 2°Semestre]]&gt;0,Tabela1154[[#This Row],[Percentual CONCLUINTES - Escola de Inovadores 2024 2°Semestre]]*0.4,0)</f>
        <v>0</v>
      </c>
      <c r="S47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47" s="481">
        <f t="shared" si="0"/>
        <v>0.6</v>
      </c>
    </row>
    <row r="48" spans="1:20">
      <c r="A48" s="472">
        <v>53</v>
      </c>
      <c r="B48" s="492" t="s">
        <v>201</v>
      </c>
      <c r="C48" s="473">
        <v>665</v>
      </c>
      <c r="D48" s="474">
        <f>Tabela1154[[#This Row],[MATRICULADOS 1° Semestre 2024]]*0.075</f>
        <v>49.875</v>
      </c>
      <c r="E48" s="475">
        <v>0</v>
      </c>
      <c r="F48" s="476">
        <f>IF(Tabela1154[[#This Row],[INSCRITOS - Escola de Inovadores - 1° Semestre 2024]]&lt;Tabela1154[[#This Row],[Linha de Base (7,5%) 1°Semestre]],0,1)</f>
        <v>0</v>
      </c>
      <c r="G48" s="477">
        <f>IF(Tabela1154[[#This Row],[Percentual INSCRITOS - Escola de Inovadores - 2024]]&gt;0,Tabela1154[[#This Row],[Percentual INSCRITOS - Escola de Inovadores - 2024]]*0.6,0)</f>
        <v>0</v>
      </c>
      <c r="H48" s="475">
        <v>0</v>
      </c>
      <c r="I48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48" s="476">
        <f>IF(Tabela1154[[#This Row],[X = Percentual de inscritos na escola de inovadores para o cumprimento de meta ( Peso 0,60)]]=0, 0, Tabela1154[[#This Row],[Percentual CONCLUINTES - Escola de Inovadores 2024]]*0.4)</f>
        <v>0</v>
      </c>
      <c r="K48" s="473">
        <v>728</v>
      </c>
      <c r="L48" s="478">
        <f>Tabela1154[[#This Row],[Matriculados 2°Semestre em Curso]]*0.075</f>
        <v>54.6</v>
      </c>
      <c r="M48" s="479">
        <v>53</v>
      </c>
      <c r="N48" s="480">
        <f>IF(Tabela1154[[#This Row],[INSCRITOS - Escola de Inovadores - 2°Semestre 2024]]&lt;Tabela1154[[#This Row],[Linha de Base (7,5%) 2°Semestre]], 0,1)</f>
        <v>0</v>
      </c>
      <c r="O48" s="480">
        <f>IF(Tabela1154[[#This Row],[Taxa de Inscritos 2° Semestre 2024]]&gt;0,Tabela1154[[#This Row],[Taxa de Inscritos 2° Semestre 2024]]*0.6,0)</f>
        <v>0</v>
      </c>
      <c r="P48" s="479">
        <v>0</v>
      </c>
      <c r="Q48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48" s="480">
        <f>IF(Tabela1154[[#This Row],[Percentual CONCLUINTES - Escola de Inovadores 2024 2°Semestre]]&gt;0,Tabela1154[[#This Row],[Percentual CONCLUINTES - Escola de Inovadores 2024 2°Semestre]]*0.4,0)</f>
        <v>0</v>
      </c>
      <c r="S48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48" s="481">
        <f t="shared" si="0"/>
        <v>0</v>
      </c>
    </row>
    <row r="49" spans="1:20">
      <c r="A49" s="472">
        <v>54</v>
      </c>
      <c r="B49" s="492" t="s">
        <v>106</v>
      </c>
      <c r="C49" s="473">
        <v>1056</v>
      </c>
      <c r="D49" s="474">
        <f>Tabela1154[[#This Row],[MATRICULADOS 1° Semestre 2024]]*0.075</f>
        <v>79.2</v>
      </c>
      <c r="E49" s="475">
        <v>101</v>
      </c>
      <c r="F49" s="476">
        <f>IF(Tabela1154[[#This Row],[INSCRITOS - Escola de Inovadores - 1° Semestre 2024]]&lt;Tabela1154[[#This Row],[Linha de Base (7,5%) 1°Semestre]],0,1)</f>
        <v>1</v>
      </c>
      <c r="G49" s="477">
        <f>IF(Tabela1154[[#This Row],[Percentual INSCRITOS - Escola de Inovadores - 2024]]&gt;0,Tabela1154[[#This Row],[Percentual INSCRITOS - Escola de Inovadores - 2024]]*0.6,0)</f>
        <v>0.6</v>
      </c>
      <c r="H49" s="475">
        <v>98</v>
      </c>
      <c r="I49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49" s="476">
        <f>IF(Tabela1154[[#This Row],[X = Percentual de inscritos na escola de inovadores para o cumprimento de meta ( Peso 0,60)]]=0, 0, Tabela1154[[#This Row],[Percentual CONCLUINTES - Escola de Inovadores 2024]]*0.4)</f>
        <v>0.4</v>
      </c>
      <c r="K49" s="473">
        <v>975</v>
      </c>
      <c r="L49" s="478">
        <f>Tabela1154[[#This Row],[Matriculados 2°Semestre em Curso]]*0.075</f>
        <v>73.125</v>
      </c>
      <c r="M49" s="479">
        <v>2</v>
      </c>
      <c r="N49" s="480">
        <f>IF(Tabela1154[[#This Row],[INSCRITOS - Escola de Inovadores - 2°Semestre 2024]]&lt;Tabela1154[[#This Row],[Linha de Base (7,5%) 2°Semestre]], 0,1)</f>
        <v>0</v>
      </c>
      <c r="O49" s="480">
        <f>IF(Tabela1154[[#This Row],[Taxa de Inscritos 2° Semestre 2024]]&gt;0,Tabela1154[[#This Row],[Taxa de Inscritos 2° Semestre 2024]]*0.6,0)</f>
        <v>0</v>
      </c>
      <c r="P49" s="479">
        <v>1</v>
      </c>
      <c r="Q49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49" s="480">
        <f>IF(Tabela1154[[#This Row],[Percentual CONCLUINTES - Escola de Inovadores 2024 2°Semestre]]&gt;0,Tabela1154[[#This Row],[Percentual CONCLUINTES - Escola de Inovadores 2024 2°Semestre]]*0.4,0)</f>
        <v>0</v>
      </c>
      <c r="S49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49" s="481">
        <f t="shared" si="0"/>
        <v>0.6</v>
      </c>
    </row>
    <row r="50" spans="1:20">
      <c r="A50" s="472">
        <v>55</v>
      </c>
      <c r="B50" s="492" t="s">
        <v>81</v>
      </c>
      <c r="C50" s="473">
        <v>700</v>
      </c>
      <c r="D50" s="474">
        <f>Tabela1154[[#This Row],[MATRICULADOS 1° Semestre 2024]]*0.075</f>
        <v>52.5</v>
      </c>
      <c r="E50" s="475">
        <v>122</v>
      </c>
      <c r="F50" s="476">
        <f>IF(Tabela1154[[#This Row],[INSCRITOS - Escola de Inovadores - 1° Semestre 2024]]&lt;Tabela1154[[#This Row],[Linha de Base (7,5%) 1°Semestre]],0,1)</f>
        <v>1</v>
      </c>
      <c r="G50" s="477">
        <f>IF(Tabela1154[[#This Row],[Percentual INSCRITOS - Escola de Inovadores - 2024]]&gt;0,Tabela1154[[#This Row],[Percentual INSCRITOS - Escola de Inovadores - 2024]]*0.6,0)</f>
        <v>0.6</v>
      </c>
      <c r="H50" s="475">
        <v>75</v>
      </c>
      <c r="I50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50" s="476">
        <f>IF(Tabela1154[[#This Row],[X = Percentual de inscritos na escola de inovadores para o cumprimento de meta ( Peso 0,60)]]=0, 0, Tabela1154[[#This Row],[Percentual CONCLUINTES - Escola de Inovadores 2024]]*0.4)</f>
        <v>0.4</v>
      </c>
      <c r="K50" s="473">
        <v>672</v>
      </c>
      <c r="L50" s="478">
        <f>Tabela1154[[#This Row],[Matriculados 2°Semestre em Curso]]*0.075</f>
        <v>50.4</v>
      </c>
      <c r="M50" s="479">
        <v>3</v>
      </c>
      <c r="N50" s="480">
        <f>IF(Tabela1154[[#This Row],[INSCRITOS - Escola de Inovadores - 2°Semestre 2024]]&lt;Tabela1154[[#This Row],[Linha de Base (7,5%) 2°Semestre]], 0,1)</f>
        <v>0</v>
      </c>
      <c r="O50" s="480">
        <f>IF(Tabela1154[[#This Row],[Taxa de Inscritos 2° Semestre 2024]]&gt;0,Tabela1154[[#This Row],[Taxa de Inscritos 2° Semestre 2024]]*0.6,0)</f>
        <v>0</v>
      </c>
      <c r="P50" s="479">
        <v>0</v>
      </c>
      <c r="Q50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50" s="480">
        <f>IF(Tabela1154[[#This Row],[Percentual CONCLUINTES - Escola de Inovadores 2024 2°Semestre]]&gt;0,Tabela1154[[#This Row],[Percentual CONCLUINTES - Escola de Inovadores 2024 2°Semestre]]*0.4,0)</f>
        <v>0</v>
      </c>
      <c r="S50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50" s="481">
        <f t="shared" si="0"/>
        <v>0.6</v>
      </c>
    </row>
    <row r="51" spans="1:20">
      <c r="A51" s="472">
        <v>56</v>
      </c>
      <c r="B51" s="492" t="s">
        <v>147</v>
      </c>
      <c r="C51" s="473">
        <v>1199</v>
      </c>
      <c r="D51" s="474">
        <f>Tabela1154[[#This Row],[MATRICULADOS 1° Semestre 2024]]*0.075</f>
        <v>89.924999999999997</v>
      </c>
      <c r="E51" s="475">
        <v>15</v>
      </c>
      <c r="F51" s="476">
        <f>IF(Tabela1154[[#This Row],[INSCRITOS - Escola de Inovadores - 1° Semestre 2024]]&lt;Tabela1154[[#This Row],[Linha de Base (7,5%) 1°Semestre]],0,1)</f>
        <v>0</v>
      </c>
      <c r="G51" s="477">
        <f>IF(Tabela1154[[#This Row],[Percentual INSCRITOS - Escola de Inovadores - 2024]]&gt;0,Tabela1154[[#This Row],[Percentual INSCRITOS - Escola de Inovadores - 2024]]*0.6,0)</f>
        <v>0</v>
      </c>
      <c r="H51" s="475">
        <v>5</v>
      </c>
      <c r="I51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51" s="476">
        <f>IF(Tabela1154[[#This Row],[X = Percentual de inscritos na escola de inovadores para o cumprimento de meta ( Peso 0,60)]]=0, 0, Tabela1154[[#This Row],[Percentual CONCLUINTES - Escola de Inovadores 2024]]*0.4)</f>
        <v>0</v>
      </c>
      <c r="K51" s="473">
        <v>1160</v>
      </c>
      <c r="L51" s="478">
        <f>Tabela1154[[#This Row],[Matriculados 2°Semestre em Curso]]*0.075</f>
        <v>87</v>
      </c>
      <c r="M51" s="479">
        <v>67</v>
      </c>
      <c r="N51" s="480">
        <f>IF(Tabela1154[[#This Row],[INSCRITOS - Escola de Inovadores - 2°Semestre 2024]]&lt;Tabela1154[[#This Row],[Linha de Base (7,5%) 2°Semestre]], 0,1)</f>
        <v>0</v>
      </c>
      <c r="O51" s="480">
        <f>IF(Tabela1154[[#This Row],[Taxa de Inscritos 2° Semestre 2024]]&gt;0,Tabela1154[[#This Row],[Taxa de Inscritos 2° Semestre 2024]]*0.6,0)</f>
        <v>0</v>
      </c>
      <c r="P51" s="479">
        <v>22</v>
      </c>
      <c r="Q51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51" s="480">
        <f>IF(Tabela1154[[#This Row],[Percentual CONCLUINTES - Escola de Inovadores 2024 2°Semestre]]&gt;0,Tabela1154[[#This Row],[Percentual CONCLUINTES - Escola de Inovadores 2024 2°Semestre]]*0.4,0)</f>
        <v>0</v>
      </c>
      <c r="S51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51" s="481">
        <f t="shared" si="0"/>
        <v>0</v>
      </c>
    </row>
    <row r="52" spans="1:20">
      <c r="A52" s="472">
        <v>57</v>
      </c>
      <c r="B52" s="492" t="s">
        <v>171</v>
      </c>
      <c r="C52" s="473">
        <v>520</v>
      </c>
      <c r="D52" s="474">
        <f>Tabela1154[[#This Row],[MATRICULADOS 1° Semestre 2024]]*0.075</f>
        <v>39</v>
      </c>
      <c r="E52" s="475">
        <v>215</v>
      </c>
      <c r="F52" s="476">
        <f>IF(Tabela1154[[#This Row],[INSCRITOS - Escola de Inovadores - 1° Semestre 2024]]&lt;Tabela1154[[#This Row],[Linha de Base (7,5%) 1°Semestre]],0,1)</f>
        <v>1</v>
      </c>
      <c r="G52" s="477">
        <f>IF(Tabela1154[[#This Row],[Percentual INSCRITOS - Escola de Inovadores - 2024]]&gt;0,Tabela1154[[#This Row],[Percentual INSCRITOS - Escola de Inovadores - 2024]]*0.6,0)</f>
        <v>0.6</v>
      </c>
      <c r="H52" s="475">
        <v>52</v>
      </c>
      <c r="I52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52" s="476">
        <f>IF(Tabela1154[[#This Row],[X = Percentual de inscritos na escola de inovadores para o cumprimento de meta ( Peso 0,60)]]=0, 0, Tabela1154[[#This Row],[Percentual CONCLUINTES - Escola de Inovadores 2024]]*0.4)</f>
        <v>0.4</v>
      </c>
      <c r="K52" s="473">
        <v>436</v>
      </c>
      <c r="L52" s="478">
        <f>Tabela1154[[#This Row],[Matriculados 2°Semestre em Curso]]*0.075</f>
        <v>32.699999999999996</v>
      </c>
      <c r="M52" s="479">
        <v>0</v>
      </c>
      <c r="N52" s="480">
        <f>IF(Tabela1154[[#This Row],[INSCRITOS - Escola de Inovadores - 2°Semestre 2024]]&lt;Tabela1154[[#This Row],[Linha de Base (7,5%) 2°Semestre]], 0,1)</f>
        <v>0</v>
      </c>
      <c r="O52" s="480">
        <f>IF(Tabela1154[[#This Row],[Taxa de Inscritos 2° Semestre 2024]]&gt;0,Tabela1154[[#This Row],[Taxa de Inscritos 2° Semestre 2024]]*0.6,0)</f>
        <v>0</v>
      </c>
      <c r="P52" s="479">
        <v>0</v>
      </c>
      <c r="Q52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52" s="480">
        <f>IF(Tabela1154[[#This Row],[Percentual CONCLUINTES - Escola de Inovadores 2024 2°Semestre]]&gt;0,Tabela1154[[#This Row],[Percentual CONCLUINTES - Escola de Inovadores 2024 2°Semestre]]*0.4,0)</f>
        <v>0</v>
      </c>
      <c r="S52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52" s="481">
        <f t="shared" si="0"/>
        <v>0.6</v>
      </c>
    </row>
    <row r="53" spans="1:20">
      <c r="A53" s="472">
        <v>58</v>
      </c>
      <c r="B53" s="492" t="s">
        <v>3</v>
      </c>
      <c r="C53" s="473">
        <v>493</v>
      </c>
      <c r="D53" s="474">
        <f>Tabela1154[[#This Row],[MATRICULADOS 1° Semestre 2024]]*0.075</f>
        <v>36.975000000000001</v>
      </c>
      <c r="E53" s="475">
        <v>114</v>
      </c>
      <c r="F53" s="476">
        <f>IF(Tabela1154[[#This Row],[INSCRITOS - Escola de Inovadores - 1° Semestre 2024]]&lt;Tabela1154[[#This Row],[Linha de Base (7,5%) 1°Semestre]],0,1)</f>
        <v>1</v>
      </c>
      <c r="G53" s="477">
        <f>IF(Tabela1154[[#This Row],[Percentual INSCRITOS - Escola de Inovadores - 2024]]&gt;0,Tabela1154[[#This Row],[Percentual INSCRITOS - Escola de Inovadores - 2024]]*0.6,0)</f>
        <v>0.6</v>
      </c>
      <c r="H53" s="475">
        <v>93</v>
      </c>
      <c r="I53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53" s="476">
        <f>IF(Tabela1154[[#This Row],[X = Percentual de inscritos na escola de inovadores para o cumprimento de meta ( Peso 0,60)]]=0, 0, Tabela1154[[#This Row],[Percentual CONCLUINTES - Escola de Inovadores 2024]]*0.4)</f>
        <v>0.4</v>
      </c>
      <c r="K53" s="473">
        <v>471</v>
      </c>
      <c r="L53" s="478">
        <f>Tabela1154[[#This Row],[Matriculados 2°Semestre em Curso]]*0.075</f>
        <v>35.324999999999996</v>
      </c>
      <c r="M53" s="479">
        <v>1</v>
      </c>
      <c r="N53" s="480">
        <f>IF(Tabela1154[[#This Row],[INSCRITOS - Escola de Inovadores - 2°Semestre 2024]]&lt;Tabela1154[[#This Row],[Linha de Base (7,5%) 2°Semestre]], 0,1)</f>
        <v>0</v>
      </c>
      <c r="O53" s="480">
        <f>IF(Tabela1154[[#This Row],[Taxa de Inscritos 2° Semestre 2024]]&gt;0,Tabela1154[[#This Row],[Taxa de Inscritos 2° Semestre 2024]]*0.6,0)</f>
        <v>0</v>
      </c>
      <c r="P53" s="479">
        <v>0</v>
      </c>
      <c r="Q53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53" s="480">
        <f>IF(Tabela1154[[#This Row],[Percentual CONCLUINTES - Escola de Inovadores 2024 2°Semestre]]&gt;0,Tabela1154[[#This Row],[Percentual CONCLUINTES - Escola de Inovadores 2024 2°Semestre]]*0.4,0)</f>
        <v>0</v>
      </c>
      <c r="S53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53" s="481">
        <f t="shared" si="0"/>
        <v>0.6</v>
      </c>
    </row>
    <row r="54" spans="1:20">
      <c r="A54" s="472">
        <v>59</v>
      </c>
      <c r="B54" s="492" t="s">
        <v>174</v>
      </c>
      <c r="C54" s="473">
        <v>558</v>
      </c>
      <c r="D54" s="474">
        <f>Tabela1154[[#This Row],[MATRICULADOS 1° Semestre 2024]]*0.075</f>
        <v>41.85</v>
      </c>
      <c r="E54" s="475">
        <v>0</v>
      </c>
      <c r="F54" s="476">
        <f>IF(Tabela1154[[#This Row],[INSCRITOS - Escola de Inovadores - 1° Semestre 2024]]&lt;Tabela1154[[#This Row],[Linha de Base (7,5%) 1°Semestre]],0,1)</f>
        <v>0</v>
      </c>
      <c r="G54" s="477">
        <f>IF(Tabela1154[[#This Row],[Percentual INSCRITOS - Escola de Inovadores - 2024]]&gt;0,Tabela1154[[#This Row],[Percentual INSCRITOS - Escola de Inovadores - 2024]]*0.6,0)</f>
        <v>0</v>
      </c>
      <c r="H54" s="475">
        <v>0</v>
      </c>
      <c r="I54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54" s="476">
        <f>IF(Tabela1154[[#This Row],[X = Percentual de inscritos na escola de inovadores para o cumprimento de meta ( Peso 0,60)]]=0, 0, Tabela1154[[#This Row],[Percentual CONCLUINTES - Escola de Inovadores 2024]]*0.4)</f>
        <v>0</v>
      </c>
      <c r="K54" s="473">
        <v>561</v>
      </c>
      <c r="L54" s="478">
        <f>Tabela1154[[#This Row],[Matriculados 2°Semestre em Curso]]*0.075</f>
        <v>42.074999999999996</v>
      </c>
      <c r="M54" s="479">
        <v>65</v>
      </c>
      <c r="N54" s="480">
        <f>IF(Tabela1154[[#This Row],[INSCRITOS - Escola de Inovadores - 2°Semestre 2024]]&lt;Tabela1154[[#This Row],[Linha de Base (7,5%) 2°Semestre]], 0,1)</f>
        <v>1</v>
      </c>
      <c r="O54" s="480">
        <f>IF(Tabela1154[[#This Row],[Taxa de Inscritos 2° Semestre 2024]]&gt;0,Tabela1154[[#This Row],[Taxa de Inscritos 2° Semestre 2024]]*0.6,0)</f>
        <v>0.6</v>
      </c>
      <c r="P54" s="479">
        <v>4</v>
      </c>
      <c r="Q54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9.5068330362448022E-2</v>
      </c>
      <c r="R54" s="480">
        <f>IF(Tabela1154[[#This Row],[Percentual CONCLUINTES - Escola de Inovadores 2024 2°Semestre]]&gt;0,Tabela1154[[#This Row],[Percentual CONCLUINTES - Escola de Inovadores 2024 2°Semestre]]*0.4,0)</f>
        <v>3.8027332144979213E-2</v>
      </c>
      <c r="S54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0.3190136660724896</v>
      </c>
      <c r="T54" s="481">
        <f t="shared" si="0"/>
        <v>0</v>
      </c>
    </row>
    <row r="55" spans="1:20">
      <c r="A55" s="472">
        <v>60</v>
      </c>
      <c r="B55" s="492" t="s">
        <v>83</v>
      </c>
      <c r="C55" s="473">
        <v>1290</v>
      </c>
      <c r="D55" s="474">
        <f>Tabela1154[[#This Row],[MATRICULADOS 1° Semestre 2024]]*0.075</f>
        <v>96.75</v>
      </c>
      <c r="E55" s="475">
        <v>208</v>
      </c>
      <c r="F55" s="476">
        <f>IF(Tabela1154[[#This Row],[INSCRITOS - Escola de Inovadores - 1° Semestre 2024]]&lt;Tabela1154[[#This Row],[Linha de Base (7,5%) 1°Semestre]],0,1)</f>
        <v>1</v>
      </c>
      <c r="G55" s="477">
        <f>IF(Tabela1154[[#This Row],[Percentual INSCRITOS - Escola de Inovadores - 2024]]&gt;0,Tabela1154[[#This Row],[Percentual INSCRITOS - Escola de Inovadores - 2024]]*0.6,0)</f>
        <v>0.6</v>
      </c>
      <c r="H55" s="475">
        <v>1</v>
      </c>
      <c r="I55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1.0335917312661499E-2</v>
      </c>
      <c r="J55" s="476">
        <f>IF(Tabela1154[[#This Row],[X = Percentual de inscritos na escola de inovadores para o cumprimento de meta ( Peso 0,60)]]=0, 0, Tabela1154[[#This Row],[Percentual CONCLUINTES - Escola de Inovadores 2024]]*0.4)</f>
        <v>4.1343669250646E-3</v>
      </c>
      <c r="K55" s="473">
        <v>1279</v>
      </c>
      <c r="L55" s="478">
        <f>Tabela1154[[#This Row],[Matriculados 2°Semestre em Curso]]*0.075</f>
        <v>95.924999999999997</v>
      </c>
      <c r="M55" s="479">
        <v>48</v>
      </c>
      <c r="N55" s="480">
        <f>IF(Tabela1154[[#This Row],[INSCRITOS - Escola de Inovadores - 2°Semestre 2024]]&lt;Tabela1154[[#This Row],[Linha de Base (7,5%) 2°Semestre]], 0,1)</f>
        <v>0</v>
      </c>
      <c r="O55" s="480">
        <f>IF(Tabela1154[[#This Row],[Taxa de Inscritos 2° Semestre 2024]]&gt;0,Tabela1154[[#This Row],[Taxa de Inscritos 2° Semestre 2024]]*0.6,0)</f>
        <v>0</v>
      </c>
      <c r="P55" s="479">
        <v>2</v>
      </c>
      <c r="Q55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55" s="480">
        <f>IF(Tabela1154[[#This Row],[Percentual CONCLUINTES - Escola de Inovadores 2024 2°Semestre]]&gt;0,Tabela1154[[#This Row],[Percentual CONCLUINTES - Escola de Inovadores 2024 2°Semestre]]*0.4,0)</f>
        <v>0</v>
      </c>
      <c r="S55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0.30206718346253231</v>
      </c>
      <c r="T55" s="481">
        <f t="shared" si="0"/>
        <v>0</v>
      </c>
    </row>
    <row r="56" spans="1:20">
      <c r="A56" s="472">
        <v>61</v>
      </c>
      <c r="B56" s="492" t="s">
        <v>148</v>
      </c>
      <c r="C56" s="473">
        <v>1227</v>
      </c>
      <c r="D56" s="474">
        <f>Tabela1154[[#This Row],[MATRICULADOS 1° Semestre 2024]]*0.075</f>
        <v>92.024999999999991</v>
      </c>
      <c r="E56" s="475">
        <v>11</v>
      </c>
      <c r="F56" s="476">
        <f>IF(Tabela1154[[#This Row],[INSCRITOS - Escola de Inovadores - 1° Semestre 2024]]&lt;Tabela1154[[#This Row],[Linha de Base (7,5%) 1°Semestre]],0,1)</f>
        <v>0</v>
      </c>
      <c r="G56" s="477">
        <f>IF(Tabela1154[[#This Row],[Percentual INSCRITOS - Escola de Inovadores - 2024]]&gt;0,Tabela1154[[#This Row],[Percentual INSCRITOS - Escola de Inovadores - 2024]]*0.6,0)</f>
        <v>0</v>
      </c>
      <c r="H56" s="475">
        <v>0</v>
      </c>
      <c r="I56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56" s="476">
        <f>IF(Tabela1154[[#This Row],[X = Percentual de inscritos na escola de inovadores para o cumprimento de meta ( Peso 0,60)]]=0, 0, Tabela1154[[#This Row],[Percentual CONCLUINTES - Escola de Inovadores 2024]]*0.4)</f>
        <v>0</v>
      </c>
      <c r="K56" s="473">
        <v>1162</v>
      </c>
      <c r="L56" s="478">
        <f>Tabela1154[[#This Row],[Matriculados 2°Semestre em Curso]]*0.075</f>
        <v>87.149999999999991</v>
      </c>
      <c r="M56" s="479">
        <v>59</v>
      </c>
      <c r="N56" s="480">
        <f>IF(Tabela1154[[#This Row],[INSCRITOS - Escola de Inovadores - 2°Semestre 2024]]&lt;Tabela1154[[#This Row],[Linha de Base (7,5%) 2°Semestre]], 0,1)</f>
        <v>0</v>
      </c>
      <c r="O56" s="480">
        <f>IF(Tabela1154[[#This Row],[Taxa de Inscritos 2° Semestre 2024]]&gt;0,Tabela1154[[#This Row],[Taxa de Inscritos 2° Semestre 2024]]*0.6,0)</f>
        <v>0</v>
      </c>
      <c r="P56" s="479">
        <v>20</v>
      </c>
      <c r="Q56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56" s="480">
        <f>IF(Tabela1154[[#This Row],[Percentual CONCLUINTES - Escola de Inovadores 2024 2°Semestre]]&gt;0,Tabela1154[[#This Row],[Percentual CONCLUINTES - Escola de Inovadores 2024 2°Semestre]]*0.4,0)</f>
        <v>0</v>
      </c>
      <c r="S56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56" s="481">
        <f t="shared" si="0"/>
        <v>0</v>
      </c>
    </row>
    <row r="57" spans="1:20">
      <c r="A57" s="472">
        <v>62</v>
      </c>
      <c r="B57" s="492" t="s">
        <v>218</v>
      </c>
      <c r="C57" s="473">
        <v>638</v>
      </c>
      <c r="D57" s="474">
        <f>Tabela1154[[#This Row],[MATRICULADOS 1° Semestre 2024]]*0.075</f>
        <v>47.85</v>
      </c>
      <c r="E57" s="475">
        <v>0</v>
      </c>
      <c r="F57" s="476">
        <f>IF(Tabela1154[[#This Row],[INSCRITOS - Escola de Inovadores - 1° Semestre 2024]]&lt;Tabela1154[[#This Row],[Linha de Base (7,5%) 1°Semestre]],0,1)</f>
        <v>0</v>
      </c>
      <c r="G57" s="477">
        <f>IF(Tabela1154[[#This Row],[Percentual INSCRITOS - Escola de Inovadores - 2024]]&gt;0,Tabela1154[[#This Row],[Percentual INSCRITOS - Escola de Inovadores - 2024]]*0.6,0)</f>
        <v>0</v>
      </c>
      <c r="H57" s="475">
        <v>0</v>
      </c>
      <c r="I57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57" s="476">
        <f>IF(Tabela1154[[#This Row],[X = Percentual de inscritos na escola de inovadores para o cumprimento de meta ( Peso 0,60)]]=0, 0, Tabela1154[[#This Row],[Percentual CONCLUINTES - Escola de Inovadores 2024]]*0.4)</f>
        <v>0</v>
      </c>
      <c r="K57" s="473">
        <v>611</v>
      </c>
      <c r="L57" s="478">
        <f>Tabela1154[[#This Row],[Matriculados 2°Semestre em Curso]]*0.075</f>
        <v>45.824999999999996</v>
      </c>
      <c r="M57" s="479">
        <v>73</v>
      </c>
      <c r="N57" s="480">
        <f>IF(Tabela1154[[#This Row],[INSCRITOS - Escola de Inovadores - 2°Semestre 2024]]&lt;Tabela1154[[#This Row],[Linha de Base (7,5%) 2°Semestre]], 0,1)</f>
        <v>1</v>
      </c>
      <c r="O57" s="480">
        <f>IF(Tabela1154[[#This Row],[Taxa de Inscritos 2° Semestre 2024]]&gt;0,Tabela1154[[#This Row],[Taxa de Inscritos 2° Semestre 2024]]*0.6,0)</f>
        <v>0.6</v>
      </c>
      <c r="P57" s="479">
        <v>17</v>
      </c>
      <c r="Q57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0.37097654118930717</v>
      </c>
      <c r="R57" s="480">
        <f>IF(Tabela1154[[#This Row],[Percentual CONCLUINTES - Escola de Inovadores 2024 2°Semestre]]&gt;0,Tabela1154[[#This Row],[Percentual CONCLUINTES - Escola de Inovadores 2024 2°Semestre]]*0.4,0)</f>
        <v>0.14839061647572288</v>
      </c>
      <c r="S57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0.3741953082378614</v>
      </c>
      <c r="T57" s="481">
        <f t="shared" si="0"/>
        <v>0</v>
      </c>
    </row>
    <row r="58" spans="1:20">
      <c r="A58" s="472">
        <v>63</v>
      </c>
      <c r="B58" s="492" t="s">
        <v>180</v>
      </c>
      <c r="C58" s="473">
        <v>229</v>
      </c>
      <c r="D58" s="474">
        <f>Tabela1154[[#This Row],[MATRICULADOS 1° Semestre 2024]]*0.075</f>
        <v>17.175000000000001</v>
      </c>
      <c r="E58" s="475">
        <v>90</v>
      </c>
      <c r="F58" s="476">
        <f>IF(Tabela1154[[#This Row],[INSCRITOS - Escola de Inovadores - 1° Semestre 2024]]&lt;Tabela1154[[#This Row],[Linha de Base (7,5%) 1°Semestre]],0,1)</f>
        <v>1</v>
      </c>
      <c r="G58" s="477">
        <f>IF(Tabela1154[[#This Row],[Percentual INSCRITOS - Escola de Inovadores - 2024]]&gt;0,Tabela1154[[#This Row],[Percentual INSCRITOS - Escola de Inovadores - 2024]]*0.6,0)</f>
        <v>0.6</v>
      </c>
      <c r="H58" s="475">
        <v>49</v>
      </c>
      <c r="I58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58" s="476">
        <f>IF(Tabela1154[[#This Row],[X = Percentual de inscritos na escola de inovadores para o cumprimento de meta ( Peso 0,60)]]=0, 0, Tabela1154[[#This Row],[Percentual CONCLUINTES - Escola de Inovadores 2024]]*0.4)</f>
        <v>0.4</v>
      </c>
      <c r="K58" s="473">
        <v>163</v>
      </c>
      <c r="L58" s="478">
        <f>Tabela1154[[#This Row],[Matriculados 2°Semestre em Curso]]*0.075</f>
        <v>12.225</v>
      </c>
      <c r="M58" s="479">
        <v>3</v>
      </c>
      <c r="N58" s="480">
        <f>IF(Tabela1154[[#This Row],[INSCRITOS - Escola de Inovadores - 2°Semestre 2024]]&lt;Tabela1154[[#This Row],[Linha de Base (7,5%) 2°Semestre]], 0,1)</f>
        <v>0</v>
      </c>
      <c r="O58" s="480">
        <f>IF(Tabela1154[[#This Row],[Taxa de Inscritos 2° Semestre 2024]]&gt;0,Tabela1154[[#This Row],[Taxa de Inscritos 2° Semestre 2024]]*0.6,0)</f>
        <v>0</v>
      </c>
      <c r="P58" s="479">
        <v>2</v>
      </c>
      <c r="Q58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58" s="480">
        <f>IF(Tabela1154[[#This Row],[Percentual CONCLUINTES - Escola de Inovadores 2024 2°Semestre]]&gt;0,Tabela1154[[#This Row],[Percentual CONCLUINTES - Escola de Inovadores 2024 2°Semestre]]*0.4,0)</f>
        <v>0</v>
      </c>
      <c r="S58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58" s="481">
        <f t="shared" si="0"/>
        <v>0.6</v>
      </c>
    </row>
    <row r="59" spans="1:20">
      <c r="A59" s="472">
        <v>64</v>
      </c>
      <c r="B59" s="492" t="s">
        <v>190</v>
      </c>
      <c r="C59" s="473">
        <v>1745</v>
      </c>
      <c r="D59" s="474">
        <f>Tabela1154[[#This Row],[MATRICULADOS 1° Semestre 2024]]*0.075</f>
        <v>130.875</v>
      </c>
      <c r="E59" s="475">
        <v>86</v>
      </c>
      <c r="F59" s="476">
        <f>IF(Tabela1154[[#This Row],[INSCRITOS - Escola de Inovadores - 1° Semestre 2024]]&lt;Tabela1154[[#This Row],[Linha de Base (7,5%) 1°Semestre]],0,1)</f>
        <v>0</v>
      </c>
      <c r="G59" s="477">
        <f>IF(Tabela1154[[#This Row],[Percentual INSCRITOS - Escola de Inovadores - 2024]]&gt;0,Tabela1154[[#This Row],[Percentual INSCRITOS - Escola de Inovadores - 2024]]*0.6,0)</f>
        <v>0</v>
      </c>
      <c r="H59" s="475">
        <v>1</v>
      </c>
      <c r="I59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59" s="476">
        <f>IF(Tabela1154[[#This Row],[X = Percentual de inscritos na escola de inovadores para o cumprimento de meta ( Peso 0,60)]]=0, 0, Tabela1154[[#This Row],[Percentual CONCLUINTES - Escola de Inovadores 2024]]*0.4)</f>
        <v>0</v>
      </c>
      <c r="K59" s="473">
        <v>1597</v>
      </c>
      <c r="L59" s="478">
        <f>Tabela1154[[#This Row],[Matriculados 2°Semestre em Curso]]*0.075</f>
        <v>119.77499999999999</v>
      </c>
      <c r="M59" s="479">
        <v>14</v>
      </c>
      <c r="N59" s="480">
        <f>IF(Tabela1154[[#This Row],[INSCRITOS - Escola de Inovadores - 2°Semestre 2024]]&lt;Tabela1154[[#This Row],[Linha de Base (7,5%) 2°Semestre]], 0,1)</f>
        <v>0</v>
      </c>
      <c r="O59" s="480">
        <f>IF(Tabela1154[[#This Row],[Taxa de Inscritos 2° Semestre 2024]]&gt;0,Tabela1154[[#This Row],[Taxa de Inscritos 2° Semestre 2024]]*0.6,0)</f>
        <v>0</v>
      </c>
      <c r="P59" s="479">
        <v>0</v>
      </c>
      <c r="Q59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59" s="480">
        <f>IF(Tabela1154[[#This Row],[Percentual CONCLUINTES - Escola de Inovadores 2024 2°Semestre]]&gt;0,Tabela1154[[#This Row],[Percentual CONCLUINTES - Escola de Inovadores 2024 2°Semestre]]*0.4,0)</f>
        <v>0</v>
      </c>
      <c r="S59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59" s="481">
        <f t="shared" si="0"/>
        <v>0</v>
      </c>
    </row>
    <row r="60" spans="1:20">
      <c r="A60" s="472">
        <v>65</v>
      </c>
      <c r="B60" s="492" t="s">
        <v>187</v>
      </c>
      <c r="C60" s="473">
        <v>708</v>
      </c>
      <c r="D60" s="474">
        <f>Tabela1154[[#This Row],[MATRICULADOS 1° Semestre 2024]]*0.075</f>
        <v>53.1</v>
      </c>
      <c r="E60" s="475">
        <v>27</v>
      </c>
      <c r="F60" s="476">
        <f>IF(Tabela1154[[#This Row],[INSCRITOS - Escola de Inovadores - 1° Semestre 2024]]&lt;Tabela1154[[#This Row],[Linha de Base (7,5%) 1°Semestre]],0,1)</f>
        <v>0</v>
      </c>
      <c r="G60" s="477">
        <f>IF(Tabela1154[[#This Row],[Percentual INSCRITOS - Escola de Inovadores - 2024]]&gt;0,Tabela1154[[#This Row],[Percentual INSCRITOS - Escola de Inovadores - 2024]]*0.6,0)</f>
        <v>0</v>
      </c>
      <c r="H60" s="475">
        <v>7</v>
      </c>
      <c r="I60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60" s="476">
        <f>IF(Tabela1154[[#This Row],[X = Percentual de inscritos na escola de inovadores para o cumprimento de meta ( Peso 0,60)]]=0, 0, Tabela1154[[#This Row],[Percentual CONCLUINTES - Escola de Inovadores 2024]]*0.4)</f>
        <v>0</v>
      </c>
      <c r="K60" s="473">
        <v>653</v>
      </c>
      <c r="L60" s="478">
        <f>Tabela1154[[#This Row],[Matriculados 2°Semestre em Curso]]*0.075</f>
        <v>48.975000000000001</v>
      </c>
      <c r="M60" s="479">
        <v>86</v>
      </c>
      <c r="N60" s="480">
        <f>IF(Tabela1154[[#This Row],[INSCRITOS - Escola de Inovadores - 2°Semestre 2024]]&lt;Tabela1154[[#This Row],[Linha de Base (7,5%) 2°Semestre]], 0,1)</f>
        <v>1</v>
      </c>
      <c r="O60" s="480">
        <f>IF(Tabela1154[[#This Row],[Taxa de Inscritos 2° Semestre 2024]]&gt;0,Tabela1154[[#This Row],[Taxa de Inscritos 2° Semestre 2024]]*0.6,0)</f>
        <v>0.6</v>
      </c>
      <c r="P60" s="479">
        <v>27</v>
      </c>
      <c r="Q60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0.55130168453292494</v>
      </c>
      <c r="R60" s="480">
        <f>IF(Tabela1154[[#This Row],[Percentual CONCLUINTES - Escola de Inovadores 2024 2°Semestre]]&gt;0,Tabela1154[[#This Row],[Percentual CONCLUINTES - Escola de Inovadores 2024 2°Semestre]]*0.4,0)</f>
        <v>0.22052067381316998</v>
      </c>
      <c r="S60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0.41026033690658498</v>
      </c>
      <c r="T60" s="481">
        <f t="shared" si="0"/>
        <v>0.5</v>
      </c>
    </row>
    <row r="61" spans="1:20">
      <c r="A61" s="472">
        <v>66</v>
      </c>
      <c r="B61" s="492" t="s">
        <v>224</v>
      </c>
      <c r="C61" s="473">
        <v>1209</v>
      </c>
      <c r="D61" s="474">
        <f>Tabela1154[[#This Row],[MATRICULADOS 1° Semestre 2024]]*0.075</f>
        <v>90.674999999999997</v>
      </c>
      <c r="E61" s="475">
        <v>134</v>
      </c>
      <c r="F61" s="476">
        <f>IF(Tabela1154[[#This Row],[INSCRITOS - Escola de Inovadores - 1° Semestre 2024]]&lt;Tabela1154[[#This Row],[Linha de Base (7,5%) 1°Semestre]],0,1)</f>
        <v>1</v>
      </c>
      <c r="G61" s="477">
        <f>IF(Tabela1154[[#This Row],[Percentual INSCRITOS - Escola de Inovadores - 2024]]&gt;0,Tabela1154[[#This Row],[Percentual INSCRITOS - Escola de Inovadores - 2024]]*0.6,0)</f>
        <v>0.6</v>
      </c>
      <c r="H61" s="475">
        <v>108</v>
      </c>
      <c r="I61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61" s="476">
        <f>IF(Tabela1154[[#This Row],[X = Percentual de inscritos na escola de inovadores para o cumprimento de meta ( Peso 0,60)]]=0, 0, Tabela1154[[#This Row],[Percentual CONCLUINTES - Escola de Inovadores 2024]]*0.4)</f>
        <v>0.4</v>
      </c>
      <c r="K61" s="473">
        <v>1119</v>
      </c>
      <c r="L61" s="478">
        <f>Tabela1154[[#This Row],[Matriculados 2°Semestre em Curso]]*0.075</f>
        <v>83.924999999999997</v>
      </c>
      <c r="M61" s="479">
        <v>254</v>
      </c>
      <c r="N61" s="480">
        <f>IF(Tabela1154[[#This Row],[INSCRITOS - Escola de Inovadores - 2°Semestre 2024]]&lt;Tabela1154[[#This Row],[Linha de Base (7,5%) 2°Semestre]], 0,1)</f>
        <v>1</v>
      </c>
      <c r="O61" s="480">
        <f>IF(Tabela1154[[#This Row],[Taxa de Inscritos 2° Semestre 2024]]&gt;0,Tabela1154[[#This Row],[Taxa de Inscritos 2° Semestre 2024]]*0.6,0)</f>
        <v>0.6</v>
      </c>
      <c r="P61" s="479">
        <v>141</v>
      </c>
      <c r="Q61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1</v>
      </c>
      <c r="R61" s="480">
        <f>IF(Tabela1154[[#This Row],[Percentual CONCLUINTES - Escola de Inovadores 2024 2°Semestre]]&gt;0,Tabela1154[[#This Row],[Percentual CONCLUINTES - Escola de Inovadores 2024 2°Semestre]]*0.4,0)</f>
        <v>0.4</v>
      </c>
      <c r="S61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1</v>
      </c>
      <c r="T61" s="481">
        <f t="shared" si="0"/>
        <v>1</v>
      </c>
    </row>
    <row r="62" spans="1:20">
      <c r="A62" s="472">
        <v>67</v>
      </c>
      <c r="B62" s="492" t="s">
        <v>161</v>
      </c>
      <c r="C62" s="473">
        <v>1633</v>
      </c>
      <c r="D62" s="474">
        <f>Tabela1154[[#This Row],[MATRICULADOS 1° Semestre 2024]]*0.075</f>
        <v>122.47499999999999</v>
      </c>
      <c r="E62" s="475">
        <v>151</v>
      </c>
      <c r="F62" s="476">
        <f>IF(Tabela1154[[#This Row],[INSCRITOS - Escola de Inovadores - 1° Semestre 2024]]&lt;Tabela1154[[#This Row],[Linha de Base (7,5%) 1°Semestre]],0,1)</f>
        <v>1</v>
      </c>
      <c r="G62" s="477">
        <f>IF(Tabela1154[[#This Row],[Percentual INSCRITOS - Escola de Inovadores - 2024]]&gt;0,Tabela1154[[#This Row],[Percentual INSCRITOS - Escola de Inovadores - 2024]]*0.6,0)</f>
        <v>0.6</v>
      </c>
      <c r="H62" s="475">
        <v>63</v>
      </c>
      <c r="I62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0.51439069197795473</v>
      </c>
      <c r="J62" s="476">
        <f>IF(Tabela1154[[#This Row],[X = Percentual de inscritos na escola de inovadores para o cumprimento de meta ( Peso 0,60)]]=0, 0, Tabela1154[[#This Row],[Percentual CONCLUINTES - Escola de Inovadores 2024]]*0.4)</f>
        <v>0.20575627679118191</v>
      </c>
      <c r="K62" s="473">
        <v>1505</v>
      </c>
      <c r="L62" s="478">
        <f>Tabela1154[[#This Row],[Matriculados 2°Semestre em Curso]]*0.075</f>
        <v>112.875</v>
      </c>
      <c r="M62" s="479">
        <v>131</v>
      </c>
      <c r="N62" s="480">
        <f>IF(Tabela1154[[#This Row],[INSCRITOS - Escola de Inovadores - 2°Semestre 2024]]&lt;Tabela1154[[#This Row],[Linha de Base (7,5%) 2°Semestre]], 0,1)</f>
        <v>1</v>
      </c>
      <c r="O62" s="480">
        <f>IF(Tabela1154[[#This Row],[Taxa de Inscritos 2° Semestre 2024]]&gt;0,Tabela1154[[#This Row],[Taxa de Inscritos 2° Semestre 2024]]*0.6,0)</f>
        <v>0.6</v>
      </c>
      <c r="P62" s="479">
        <v>57</v>
      </c>
      <c r="Q62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0.50498338870431891</v>
      </c>
      <c r="R62" s="480">
        <f>IF(Tabela1154[[#This Row],[Percentual CONCLUINTES - Escola de Inovadores 2024 2°Semestre]]&gt;0,Tabela1154[[#This Row],[Percentual CONCLUINTES - Escola de Inovadores 2024 2°Semestre]]*0.4,0)</f>
        <v>0.20199335548172759</v>
      </c>
      <c r="S62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0.80387481613645462</v>
      </c>
      <c r="T62" s="481">
        <f t="shared" si="0"/>
        <v>1</v>
      </c>
    </row>
    <row r="63" spans="1:20">
      <c r="A63" s="472">
        <v>68</v>
      </c>
      <c r="B63" s="492" t="s">
        <v>92</v>
      </c>
      <c r="C63" s="473">
        <v>1079</v>
      </c>
      <c r="D63" s="474">
        <f>Tabela1154[[#This Row],[MATRICULADOS 1° Semestre 2024]]*0.075</f>
        <v>80.924999999999997</v>
      </c>
      <c r="E63" s="475">
        <v>121</v>
      </c>
      <c r="F63" s="476">
        <f>IF(Tabela1154[[#This Row],[INSCRITOS - Escola de Inovadores - 1° Semestre 2024]]&lt;Tabela1154[[#This Row],[Linha de Base (7,5%) 1°Semestre]],0,1)</f>
        <v>1</v>
      </c>
      <c r="G63" s="477">
        <f>IF(Tabela1154[[#This Row],[Percentual INSCRITOS - Escola de Inovadores - 2024]]&gt;0,Tabela1154[[#This Row],[Percentual INSCRITOS - Escola de Inovadores - 2024]]*0.6,0)</f>
        <v>0.6</v>
      </c>
      <c r="H63" s="475">
        <v>33</v>
      </c>
      <c r="I63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0.4077849860982391</v>
      </c>
      <c r="J63" s="476">
        <f>IF(Tabela1154[[#This Row],[X = Percentual de inscritos na escola de inovadores para o cumprimento de meta ( Peso 0,60)]]=0, 0, Tabela1154[[#This Row],[Percentual CONCLUINTES - Escola de Inovadores 2024]]*0.4)</f>
        <v>0.16311399443929564</v>
      </c>
      <c r="K63" s="473">
        <v>975</v>
      </c>
      <c r="L63" s="478">
        <f>Tabela1154[[#This Row],[Matriculados 2°Semestre em Curso]]*0.075</f>
        <v>73.125</v>
      </c>
      <c r="M63" s="479">
        <v>34</v>
      </c>
      <c r="N63" s="480">
        <f>IF(Tabela1154[[#This Row],[INSCRITOS - Escola de Inovadores - 2°Semestre 2024]]&lt;Tabela1154[[#This Row],[Linha de Base (7,5%) 2°Semestre]], 0,1)</f>
        <v>0</v>
      </c>
      <c r="O63" s="480">
        <f>IF(Tabela1154[[#This Row],[Taxa de Inscritos 2° Semestre 2024]]&gt;0,Tabela1154[[#This Row],[Taxa de Inscritos 2° Semestre 2024]]*0.6,0)</f>
        <v>0</v>
      </c>
      <c r="P63" s="479">
        <v>3</v>
      </c>
      <c r="Q63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63" s="480">
        <f>IF(Tabela1154[[#This Row],[Percentual CONCLUINTES - Escola de Inovadores 2024 2°Semestre]]&gt;0,Tabela1154[[#This Row],[Percentual CONCLUINTES - Escola de Inovadores 2024 2°Semestre]]*0.4,0)</f>
        <v>0</v>
      </c>
      <c r="S63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0.38155699721964781</v>
      </c>
      <c r="T63" s="481">
        <f t="shared" si="0"/>
        <v>0</v>
      </c>
    </row>
    <row r="64" spans="1:20">
      <c r="A64" s="472">
        <v>69</v>
      </c>
      <c r="B64" s="492" t="s">
        <v>226</v>
      </c>
      <c r="C64" s="473">
        <v>177</v>
      </c>
      <c r="D64" s="474">
        <f>Tabela1154[[#This Row],[MATRICULADOS 1° Semestre 2024]]*0.075</f>
        <v>13.275</v>
      </c>
      <c r="E64" s="475">
        <v>8</v>
      </c>
      <c r="F64" s="476">
        <f>IF(Tabela1154[[#This Row],[INSCRITOS - Escola de Inovadores - 1° Semestre 2024]]&lt;Tabela1154[[#This Row],[Linha de Base (7,5%) 1°Semestre]],0,1)</f>
        <v>0</v>
      </c>
      <c r="G64" s="477">
        <f>IF(Tabela1154[[#This Row],[Percentual INSCRITOS - Escola de Inovadores - 2024]]&gt;0,Tabela1154[[#This Row],[Percentual INSCRITOS - Escola de Inovadores - 2024]]*0.6,0)</f>
        <v>0</v>
      </c>
      <c r="H64" s="475">
        <v>0</v>
      </c>
      <c r="I64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64" s="476">
        <f>IF(Tabela1154[[#This Row],[X = Percentual de inscritos na escola de inovadores para o cumprimento de meta ( Peso 0,60)]]=0, 0, Tabela1154[[#This Row],[Percentual CONCLUINTES - Escola de Inovadores 2024]]*0.4)</f>
        <v>0</v>
      </c>
      <c r="K64" s="473">
        <v>151</v>
      </c>
      <c r="L64" s="478">
        <f>Tabela1154[[#This Row],[Matriculados 2°Semestre em Curso]]*0.075</f>
        <v>11.324999999999999</v>
      </c>
      <c r="M64" s="479">
        <v>48</v>
      </c>
      <c r="N64" s="480">
        <f>IF(Tabela1154[[#This Row],[INSCRITOS - Escola de Inovadores - 2°Semestre 2024]]&lt;Tabela1154[[#This Row],[Linha de Base (7,5%) 2°Semestre]], 0,1)</f>
        <v>1</v>
      </c>
      <c r="O64" s="480">
        <f>IF(Tabela1154[[#This Row],[Taxa de Inscritos 2° Semestre 2024]]&gt;0,Tabela1154[[#This Row],[Taxa de Inscritos 2° Semestre 2024]]*0.6,0)</f>
        <v>0.6</v>
      </c>
      <c r="P64" s="479">
        <v>0</v>
      </c>
      <c r="Q64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64" s="480">
        <f>IF(Tabela1154[[#This Row],[Percentual CONCLUINTES - Escola de Inovadores 2024 2°Semestre]]&gt;0,Tabela1154[[#This Row],[Percentual CONCLUINTES - Escola de Inovadores 2024 2°Semestre]]*0.4,0)</f>
        <v>0</v>
      </c>
      <c r="S64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</v>
      </c>
      <c r="T64" s="481">
        <f t="shared" si="0"/>
        <v>0</v>
      </c>
    </row>
    <row r="65" spans="1:20">
      <c r="A65" s="472">
        <v>70</v>
      </c>
      <c r="B65" s="492" t="s">
        <v>158</v>
      </c>
      <c r="C65" s="473">
        <v>1246</v>
      </c>
      <c r="D65" s="474">
        <f>Tabela1154[[#This Row],[MATRICULADOS 1° Semestre 2024]]*0.075</f>
        <v>93.45</v>
      </c>
      <c r="E65" s="475">
        <v>5</v>
      </c>
      <c r="F65" s="476">
        <f>IF(Tabela1154[[#This Row],[INSCRITOS - Escola de Inovadores - 1° Semestre 2024]]&lt;Tabela1154[[#This Row],[Linha de Base (7,5%) 1°Semestre]],0,1)</f>
        <v>0</v>
      </c>
      <c r="G65" s="477">
        <f>IF(Tabela1154[[#This Row],[Percentual INSCRITOS - Escola de Inovadores - 2024]]&gt;0,Tabela1154[[#This Row],[Percentual INSCRITOS - Escola de Inovadores - 2024]]*0.6,0)</f>
        <v>0</v>
      </c>
      <c r="H65" s="475">
        <v>3</v>
      </c>
      <c r="I65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65" s="476">
        <f>IF(Tabela1154[[#This Row],[X = Percentual de inscritos na escola de inovadores para o cumprimento de meta ( Peso 0,60)]]=0, 0, Tabela1154[[#This Row],[Percentual CONCLUINTES - Escola de Inovadores 2024]]*0.4)</f>
        <v>0</v>
      </c>
      <c r="K65" s="473">
        <v>1099</v>
      </c>
      <c r="L65" s="478">
        <f>Tabela1154[[#This Row],[Matriculados 2°Semestre em Curso]]*0.075</f>
        <v>82.424999999999997</v>
      </c>
      <c r="M65" s="479">
        <v>75</v>
      </c>
      <c r="N65" s="480">
        <f>IF(Tabela1154[[#This Row],[INSCRITOS - Escola de Inovadores - 2°Semestre 2024]]&lt;Tabela1154[[#This Row],[Linha de Base (7,5%) 2°Semestre]], 0,1)</f>
        <v>0</v>
      </c>
      <c r="O65" s="480">
        <f>IF(Tabela1154[[#This Row],[Taxa de Inscritos 2° Semestre 2024]]&gt;0,Tabela1154[[#This Row],[Taxa de Inscritos 2° Semestre 2024]]*0.6,0)</f>
        <v>0</v>
      </c>
      <c r="P65" s="479">
        <v>9</v>
      </c>
      <c r="Q65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65" s="480">
        <f>IF(Tabela1154[[#This Row],[Percentual CONCLUINTES - Escola de Inovadores 2024 2°Semestre]]&gt;0,Tabela1154[[#This Row],[Percentual CONCLUINTES - Escola de Inovadores 2024 2°Semestre]]*0.4,0)</f>
        <v>0</v>
      </c>
      <c r="S65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65" s="481">
        <f t="shared" si="0"/>
        <v>0</v>
      </c>
    </row>
    <row r="66" spans="1:20">
      <c r="A66" s="472">
        <v>71</v>
      </c>
      <c r="B66" s="492" t="s">
        <v>25</v>
      </c>
      <c r="C66" s="473">
        <v>350</v>
      </c>
      <c r="D66" s="474">
        <f>Tabela1154[[#This Row],[MATRICULADOS 1° Semestre 2024]]*0.075</f>
        <v>26.25</v>
      </c>
      <c r="E66" s="475">
        <v>46</v>
      </c>
      <c r="F66" s="476">
        <f>IF(Tabela1154[[#This Row],[INSCRITOS - Escola de Inovadores - 1° Semestre 2024]]&lt;Tabela1154[[#This Row],[Linha de Base (7,5%) 1°Semestre]],0,1)</f>
        <v>1</v>
      </c>
      <c r="G66" s="477">
        <f>IF(Tabela1154[[#This Row],[Percentual INSCRITOS - Escola de Inovadores - 2024]]&gt;0,Tabela1154[[#This Row],[Percentual INSCRITOS - Escola de Inovadores - 2024]]*0.6,0)</f>
        <v>0.6</v>
      </c>
      <c r="H66" s="475">
        <v>27</v>
      </c>
      <c r="I66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66" s="476">
        <f>IF(Tabela1154[[#This Row],[X = Percentual de inscritos na escola de inovadores para o cumprimento de meta ( Peso 0,60)]]=0, 0, Tabela1154[[#This Row],[Percentual CONCLUINTES - Escola de Inovadores 2024]]*0.4)</f>
        <v>0.4</v>
      </c>
      <c r="K66" s="473">
        <v>372</v>
      </c>
      <c r="L66" s="478">
        <f>Tabela1154[[#This Row],[Matriculados 2°Semestre em Curso]]*0.075</f>
        <v>27.9</v>
      </c>
      <c r="M66" s="479">
        <v>0</v>
      </c>
      <c r="N66" s="480">
        <f>IF(Tabela1154[[#This Row],[INSCRITOS - Escola de Inovadores - 2°Semestre 2024]]&lt;Tabela1154[[#This Row],[Linha de Base (7,5%) 2°Semestre]], 0,1)</f>
        <v>0</v>
      </c>
      <c r="O66" s="480">
        <f>IF(Tabela1154[[#This Row],[Taxa de Inscritos 2° Semestre 2024]]&gt;0,Tabela1154[[#This Row],[Taxa de Inscritos 2° Semestre 2024]]*0.6,0)</f>
        <v>0</v>
      </c>
      <c r="P66" s="479">
        <v>0</v>
      </c>
      <c r="Q66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66" s="480">
        <f>IF(Tabela1154[[#This Row],[Percentual CONCLUINTES - Escola de Inovadores 2024 2°Semestre]]&gt;0,Tabela1154[[#This Row],[Percentual CONCLUINTES - Escola de Inovadores 2024 2°Semestre]]*0.4,0)</f>
        <v>0</v>
      </c>
      <c r="S66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66" s="481">
        <f t="shared" si="0"/>
        <v>0.6</v>
      </c>
    </row>
    <row r="67" spans="1:20">
      <c r="A67" s="472">
        <v>72</v>
      </c>
      <c r="B67" s="492" t="s">
        <v>220</v>
      </c>
      <c r="C67" s="473">
        <v>341</v>
      </c>
      <c r="D67" s="474">
        <f>Tabela1154[[#This Row],[MATRICULADOS 1° Semestre 2024]]*0.075</f>
        <v>25.574999999999999</v>
      </c>
      <c r="E67" s="475">
        <v>26</v>
      </c>
      <c r="F67" s="476">
        <f>IF(Tabela1154[[#This Row],[INSCRITOS - Escola de Inovadores - 1° Semestre 2024]]&lt;Tabela1154[[#This Row],[Linha de Base (7,5%) 1°Semestre]],0,1)</f>
        <v>1</v>
      </c>
      <c r="G67" s="477">
        <f>IF(Tabela1154[[#This Row],[Percentual INSCRITOS - Escola de Inovadores - 2024]]&gt;0,Tabela1154[[#This Row],[Percentual INSCRITOS - Escola de Inovadores - 2024]]*0.6,0)</f>
        <v>0.6</v>
      </c>
      <c r="H67" s="475">
        <v>9</v>
      </c>
      <c r="I67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0.35190615835777128</v>
      </c>
      <c r="J67" s="476">
        <f>IF(Tabela1154[[#This Row],[X = Percentual de inscritos na escola de inovadores para o cumprimento de meta ( Peso 0,60)]]=0, 0, Tabela1154[[#This Row],[Percentual CONCLUINTES - Escola de Inovadores 2024]]*0.4)</f>
        <v>0.14076246334310852</v>
      </c>
      <c r="K67" s="473">
        <v>314</v>
      </c>
      <c r="L67" s="478">
        <f>Tabela1154[[#This Row],[Matriculados 2°Semestre em Curso]]*0.075</f>
        <v>23.55</v>
      </c>
      <c r="M67" s="479">
        <v>16</v>
      </c>
      <c r="N67" s="480">
        <f>IF(Tabela1154[[#This Row],[INSCRITOS - Escola de Inovadores - 2°Semestre 2024]]&lt;Tabela1154[[#This Row],[Linha de Base (7,5%) 2°Semestre]], 0,1)</f>
        <v>0</v>
      </c>
      <c r="O67" s="480">
        <f>IF(Tabela1154[[#This Row],[Taxa de Inscritos 2° Semestre 2024]]&gt;0,Tabela1154[[#This Row],[Taxa de Inscritos 2° Semestre 2024]]*0.6,0)</f>
        <v>0</v>
      </c>
      <c r="P67" s="479">
        <v>4</v>
      </c>
      <c r="Q67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67" s="480">
        <f>IF(Tabela1154[[#This Row],[Percentual CONCLUINTES - Escola de Inovadores 2024 2°Semestre]]&gt;0,Tabela1154[[#This Row],[Percentual CONCLUINTES - Escola de Inovadores 2024 2°Semestre]]*0.4,0)</f>
        <v>0</v>
      </c>
      <c r="S67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0.37038123167155423</v>
      </c>
      <c r="T67" s="481">
        <f t="shared" si="0"/>
        <v>0</v>
      </c>
    </row>
    <row r="68" spans="1:20">
      <c r="A68" s="472">
        <v>73</v>
      </c>
      <c r="B68" s="492" t="s">
        <v>93</v>
      </c>
      <c r="C68" s="473">
        <v>898</v>
      </c>
      <c r="D68" s="474">
        <f>Tabela1154[[#This Row],[MATRICULADOS 1° Semestre 2024]]*0.075</f>
        <v>67.349999999999994</v>
      </c>
      <c r="E68" s="475">
        <v>9</v>
      </c>
      <c r="F68" s="476">
        <f>IF(Tabela1154[[#This Row],[INSCRITOS - Escola de Inovadores - 1° Semestre 2024]]&lt;Tabela1154[[#This Row],[Linha de Base (7,5%) 1°Semestre]],0,1)</f>
        <v>0</v>
      </c>
      <c r="G68" s="477">
        <f>IF(Tabela1154[[#This Row],[Percentual INSCRITOS - Escola de Inovadores - 2024]]&gt;0,Tabela1154[[#This Row],[Percentual INSCRITOS - Escola de Inovadores - 2024]]*0.6,0)</f>
        <v>0</v>
      </c>
      <c r="H68" s="475">
        <v>0</v>
      </c>
      <c r="I68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68" s="476">
        <f>IF(Tabela1154[[#This Row],[X = Percentual de inscritos na escola de inovadores para o cumprimento de meta ( Peso 0,60)]]=0, 0, Tabela1154[[#This Row],[Percentual CONCLUINTES - Escola de Inovadores 2024]]*0.4)</f>
        <v>0</v>
      </c>
      <c r="K68" s="473">
        <v>873</v>
      </c>
      <c r="L68" s="478">
        <f>Tabela1154[[#This Row],[Matriculados 2°Semestre em Curso]]*0.075</f>
        <v>65.474999999999994</v>
      </c>
      <c r="M68" s="479">
        <v>198</v>
      </c>
      <c r="N68" s="480">
        <f>IF(Tabela1154[[#This Row],[INSCRITOS - Escola de Inovadores - 2°Semestre 2024]]&lt;Tabela1154[[#This Row],[Linha de Base (7,5%) 2°Semestre]], 0,1)</f>
        <v>1</v>
      </c>
      <c r="O68" s="480">
        <f>IF(Tabela1154[[#This Row],[Taxa de Inscritos 2° Semestre 2024]]&gt;0,Tabela1154[[#This Row],[Taxa de Inscritos 2° Semestre 2024]]*0.6,0)</f>
        <v>0.6</v>
      </c>
      <c r="P68" s="479">
        <v>159</v>
      </c>
      <c r="Q68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1</v>
      </c>
      <c r="R68" s="480">
        <f>IF(Tabela1154[[#This Row],[Percentual CONCLUINTES - Escola de Inovadores 2024 2°Semestre]]&gt;0,Tabela1154[[#This Row],[Percentual CONCLUINTES - Escola de Inovadores 2024 2°Semestre]]*0.4,0)</f>
        <v>0.4</v>
      </c>
      <c r="S68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68" s="481">
        <f t="shared" si="0"/>
        <v>0.6</v>
      </c>
    </row>
    <row r="69" spans="1:20">
      <c r="A69" s="472">
        <v>74</v>
      </c>
      <c r="B69" s="492" t="s">
        <v>191</v>
      </c>
      <c r="C69" s="473">
        <v>1648</v>
      </c>
      <c r="D69" s="474">
        <f>Tabela1154[[#This Row],[MATRICULADOS 1° Semestre 2024]]*0.075</f>
        <v>123.6</v>
      </c>
      <c r="E69" s="475">
        <v>145</v>
      </c>
      <c r="F69" s="476">
        <f>IF(Tabela1154[[#This Row],[INSCRITOS - Escola de Inovadores - 1° Semestre 2024]]&lt;Tabela1154[[#This Row],[Linha de Base (7,5%) 1°Semestre]],0,1)</f>
        <v>1</v>
      </c>
      <c r="G69" s="477">
        <f>IF(Tabela1154[[#This Row],[Percentual INSCRITOS - Escola de Inovadores - 2024]]&gt;0,Tabela1154[[#This Row],[Percentual INSCRITOS - Escola de Inovadores - 2024]]*0.6,0)</f>
        <v>0.6</v>
      </c>
      <c r="H69" s="475">
        <v>66</v>
      </c>
      <c r="I69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0.53398058252427183</v>
      </c>
      <c r="J69" s="476">
        <f>IF(Tabela1154[[#This Row],[X = Percentual de inscritos na escola de inovadores para o cumprimento de meta ( Peso 0,60)]]=0, 0, Tabela1154[[#This Row],[Percentual CONCLUINTES - Escola de Inovadores 2024]]*0.4)</f>
        <v>0.21359223300970875</v>
      </c>
      <c r="K69" s="473">
        <v>1615</v>
      </c>
      <c r="L69" s="478">
        <f>Tabela1154[[#This Row],[Matriculados 2°Semestre em Curso]]*0.075</f>
        <v>121.125</v>
      </c>
      <c r="M69" s="479">
        <v>46</v>
      </c>
      <c r="N69" s="480">
        <f>IF(Tabela1154[[#This Row],[INSCRITOS - Escola de Inovadores - 2°Semestre 2024]]&lt;Tabela1154[[#This Row],[Linha de Base (7,5%) 2°Semestre]], 0,1)</f>
        <v>0</v>
      </c>
      <c r="O69" s="480">
        <f>IF(Tabela1154[[#This Row],[Taxa de Inscritos 2° Semestre 2024]]&gt;0,Tabela1154[[#This Row],[Taxa de Inscritos 2° Semestre 2024]]*0.6,0)</f>
        <v>0</v>
      </c>
      <c r="P69" s="479">
        <v>20</v>
      </c>
      <c r="Q69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69" s="480">
        <f>IF(Tabela1154[[#This Row],[Percentual CONCLUINTES - Escola de Inovadores 2024 2°Semestre]]&gt;0,Tabela1154[[#This Row],[Percentual CONCLUINTES - Escola de Inovadores 2024 2°Semestre]]*0.4,0)</f>
        <v>0</v>
      </c>
      <c r="S69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0.40679611650485437</v>
      </c>
      <c r="T69" s="481">
        <f t="shared" ref="T69:T132" si="1">IF(S69&gt;=0.8,100%,IF(S69&gt;=0.7,80%,IF(S69&gt;=0.6,70%,IF(S69&gt;=0.5,60%,IF(S69&gt;=0.4,50%,IF(S69&lt;0.4,0%,))))))</f>
        <v>0.5</v>
      </c>
    </row>
    <row r="70" spans="1:20">
      <c r="A70" s="472">
        <v>75</v>
      </c>
      <c r="B70" s="492" t="s">
        <v>4</v>
      </c>
      <c r="C70" s="473">
        <v>480</v>
      </c>
      <c r="D70" s="474">
        <f>Tabela1154[[#This Row],[MATRICULADOS 1° Semestre 2024]]*0.075</f>
        <v>36</v>
      </c>
      <c r="E70" s="475">
        <v>118</v>
      </c>
      <c r="F70" s="476">
        <f>IF(Tabela1154[[#This Row],[INSCRITOS - Escola de Inovadores - 1° Semestre 2024]]&lt;Tabela1154[[#This Row],[Linha de Base (7,5%) 1°Semestre]],0,1)</f>
        <v>1</v>
      </c>
      <c r="G70" s="477">
        <f>IF(Tabela1154[[#This Row],[Percentual INSCRITOS - Escola de Inovadores - 2024]]&gt;0,Tabela1154[[#This Row],[Percentual INSCRITOS - Escola de Inovadores - 2024]]*0.6,0)</f>
        <v>0.6</v>
      </c>
      <c r="H70" s="475">
        <v>91</v>
      </c>
      <c r="I70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70" s="476">
        <f>IF(Tabela1154[[#This Row],[X = Percentual de inscritos na escola de inovadores para o cumprimento de meta ( Peso 0,60)]]=0, 0, Tabela1154[[#This Row],[Percentual CONCLUINTES - Escola de Inovadores 2024]]*0.4)</f>
        <v>0.4</v>
      </c>
      <c r="K70" s="473">
        <v>445</v>
      </c>
      <c r="L70" s="478">
        <f>Tabela1154[[#This Row],[Matriculados 2°Semestre em Curso]]*0.075</f>
        <v>33.375</v>
      </c>
      <c r="M70" s="479">
        <v>27</v>
      </c>
      <c r="N70" s="480">
        <f>IF(Tabela1154[[#This Row],[INSCRITOS - Escola de Inovadores - 2°Semestre 2024]]&lt;Tabela1154[[#This Row],[Linha de Base (7,5%) 2°Semestre]], 0,1)</f>
        <v>0</v>
      </c>
      <c r="O70" s="480">
        <f>IF(Tabela1154[[#This Row],[Taxa de Inscritos 2° Semestre 2024]]&gt;0,Tabela1154[[#This Row],[Taxa de Inscritos 2° Semestre 2024]]*0.6,0)</f>
        <v>0</v>
      </c>
      <c r="P70" s="479">
        <v>27</v>
      </c>
      <c r="Q70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70" s="480">
        <f>IF(Tabela1154[[#This Row],[Percentual CONCLUINTES - Escola de Inovadores 2024 2°Semestre]]&gt;0,Tabela1154[[#This Row],[Percentual CONCLUINTES - Escola de Inovadores 2024 2°Semestre]]*0.4,0)</f>
        <v>0</v>
      </c>
      <c r="S70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70" s="481">
        <f t="shared" si="1"/>
        <v>0.6</v>
      </c>
    </row>
    <row r="71" spans="1:20">
      <c r="A71" s="472">
        <v>76</v>
      </c>
      <c r="B71" s="492" t="s">
        <v>128</v>
      </c>
      <c r="C71" s="473">
        <v>1109</v>
      </c>
      <c r="D71" s="474">
        <f>Tabela1154[[#This Row],[MATRICULADOS 1° Semestre 2024]]*0.075</f>
        <v>83.174999999999997</v>
      </c>
      <c r="E71" s="475">
        <v>33</v>
      </c>
      <c r="F71" s="476">
        <f>IF(Tabela1154[[#This Row],[INSCRITOS - Escola de Inovadores - 1° Semestre 2024]]&lt;Tabela1154[[#This Row],[Linha de Base (7,5%) 1°Semestre]],0,1)</f>
        <v>0</v>
      </c>
      <c r="G71" s="477">
        <f>IF(Tabela1154[[#This Row],[Percentual INSCRITOS - Escola de Inovadores - 2024]]&gt;0,Tabela1154[[#This Row],[Percentual INSCRITOS - Escola de Inovadores - 2024]]*0.6,0)</f>
        <v>0</v>
      </c>
      <c r="H71" s="475">
        <v>3</v>
      </c>
      <c r="I71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71" s="476">
        <f>IF(Tabela1154[[#This Row],[X = Percentual de inscritos na escola de inovadores para o cumprimento de meta ( Peso 0,60)]]=0, 0, Tabela1154[[#This Row],[Percentual CONCLUINTES - Escola de Inovadores 2024]]*0.4)</f>
        <v>0</v>
      </c>
      <c r="K71" s="473">
        <v>1072</v>
      </c>
      <c r="L71" s="478">
        <f>Tabela1154[[#This Row],[Matriculados 2°Semestre em Curso]]*0.075</f>
        <v>80.399999999999991</v>
      </c>
      <c r="M71" s="479">
        <v>101</v>
      </c>
      <c r="N71" s="480">
        <f>IF(Tabela1154[[#This Row],[INSCRITOS - Escola de Inovadores - 2°Semestre 2024]]&lt;Tabela1154[[#This Row],[Linha de Base (7,5%) 2°Semestre]], 0,1)</f>
        <v>1</v>
      </c>
      <c r="O71" s="480">
        <f>IF(Tabela1154[[#This Row],[Taxa de Inscritos 2° Semestre 2024]]&gt;0,Tabela1154[[#This Row],[Taxa de Inscritos 2° Semestre 2024]]*0.6,0)</f>
        <v>0.6</v>
      </c>
      <c r="P71" s="479">
        <v>0</v>
      </c>
      <c r="Q71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71" s="480">
        <f>IF(Tabela1154[[#This Row],[Percentual CONCLUINTES - Escola de Inovadores 2024 2°Semestre]]&gt;0,Tabela1154[[#This Row],[Percentual CONCLUINTES - Escola de Inovadores 2024 2°Semestre]]*0.4,0)</f>
        <v>0</v>
      </c>
      <c r="S71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</v>
      </c>
      <c r="T71" s="481">
        <f t="shared" si="1"/>
        <v>0</v>
      </c>
    </row>
    <row r="72" spans="1:20">
      <c r="A72" s="472">
        <v>77</v>
      </c>
      <c r="B72" s="492" t="s">
        <v>138</v>
      </c>
      <c r="C72" s="473">
        <v>1323</v>
      </c>
      <c r="D72" s="474">
        <f>Tabela1154[[#This Row],[MATRICULADOS 1° Semestre 2024]]*0.075</f>
        <v>99.224999999999994</v>
      </c>
      <c r="E72" s="475">
        <v>15</v>
      </c>
      <c r="F72" s="476">
        <f>IF(Tabela1154[[#This Row],[INSCRITOS - Escola de Inovadores - 1° Semestre 2024]]&lt;Tabela1154[[#This Row],[Linha de Base (7,5%) 1°Semestre]],0,1)</f>
        <v>0</v>
      </c>
      <c r="G72" s="477">
        <f>IF(Tabela1154[[#This Row],[Percentual INSCRITOS - Escola de Inovadores - 2024]]&gt;0,Tabela1154[[#This Row],[Percentual INSCRITOS - Escola de Inovadores - 2024]]*0.6,0)</f>
        <v>0</v>
      </c>
      <c r="H72" s="475">
        <v>0</v>
      </c>
      <c r="I72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72" s="476">
        <f>IF(Tabela1154[[#This Row],[X = Percentual de inscritos na escola de inovadores para o cumprimento de meta ( Peso 0,60)]]=0, 0, Tabela1154[[#This Row],[Percentual CONCLUINTES - Escola de Inovadores 2024]]*0.4)</f>
        <v>0</v>
      </c>
      <c r="K72" s="473">
        <v>1247</v>
      </c>
      <c r="L72" s="478">
        <f>Tabela1154[[#This Row],[Matriculados 2°Semestre em Curso]]*0.075</f>
        <v>93.524999999999991</v>
      </c>
      <c r="M72" s="479">
        <v>45</v>
      </c>
      <c r="N72" s="480">
        <f>IF(Tabela1154[[#This Row],[INSCRITOS - Escola de Inovadores - 2°Semestre 2024]]&lt;Tabela1154[[#This Row],[Linha de Base (7,5%) 2°Semestre]], 0,1)</f>
        <v>0</v>
      </c>
      <c r="O72" s="480">
        <f>IF(Tabela1154[[#This Row],[Taxa de Inscritos 2° Semestre 2024]]&gt;0,Tabela1154[[#This Row],[Taxa de Inscritos 2° Semestre 2024]]*0.6,0)</f>
        <v>0</v>
      </c>
      <c r="P72" s="479">
        <v>1</v>
      </c>
      <c r="Q72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72" s="480">
        <f>IF(Tabela1154[[#This Row],[Percentual CONCLUINTES - Escola de Inovadores 2024 2°Semestre]]&gt;0,Tabela1154[[#This Row],[Percentual CONCLUINTES - Escola de Inovadores 2024 2°Semestre]]*0.4,0)</f>
        <v>0</v>
      </c>
      <c r="S72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72" s="481">
        <f t="shared" si="1"/>
        <v>0</v>
      </c>
    </row>
    <row r="73" spans="1:20">
      <c r="A73" s="472">
        <v>78</v>
      </c>
      <c r="B73" s="492" t="s">
        <v>202</v>
      </c>
      <c r="C73" s="473">
        <v>1252</v>
      </c>
      <c r="D73" s="474">
        <f>Tabela1154[[#This Row],[MATRICULADOS 1° Semestre 2024]]*0.075</f>
        <v>93.899999999999991</v>
      </c>
      <c r="E73" s="475">
        <v>20</v>
      </c>
      <c r="F73" s="476">
        <f>IF(Tabela1154[[#This Row],[INSCRITOS - Escola de Inovadores - 1° Semestre 2024]]&lt;Tabela1154[[#This Row],[Linha de Base (7,5%) 1°Semestre]],0,1)</f>
        <v>0</v>
      </c>
      <c r="G73" s="477">
        <f>IF(Tabela1154[[#This Row],[Percentual INSCRITOS - Escola de Inovadores - 2024]]&gt;0,Tabela1154[[#This Row],[Percentual INSCRITOS - Escola de Inovadores - 2024]]*0.6,0)</f>
        <v>0</v>
      </c>
      <c r="H73" s="475">
        <v>5</v>
      </c>
      <c r="I73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73" s="476">
        <f>IF(Tabela1154[[#This Row],[X = Percentual de inscritos na escola de inovadores para o cumprimento de meta ( Peso 0,60)]]=0, 0, Tabela1154[[#This Row],[Percentual CONCLUINTES - Escola de Inovadores 2024]]*0.4)</f>
        <v>0</v>
      </c>
      <c r="K73" s="473">
        <v>1085</v>
      </c>
      <c r="L73" s="478">
        <f>Tabela1154[[#This Row],[Matriculados 2°Semestre em Curso]]*0.075</f>
        <v>81.375</v>
      </c>
      <c r="M73" s="479">
        <v>134</v>
      </c>
      <c r="N73" s="480">
        <f>IF(Tabela1154[[#This Row],[INSCRITOS - Escola de Inovadores - 2°Semestre 2024]]&lt;Tabela1154[[#This Row],[Linha de Base (7,5%) 2°Semestre]], 0,1)</f>
        <v>1</v>
      </c>
      <c r="O73" s="480">
        <f>IF(Tabela1154[[#This Row],[Taxa de Inscritos 2° Semestre 2024]]&gt;0,Tabela1154[[#This Row],[Taxa de Inscritos 2° Semestre 2024]]*0.6,0)</f>
        <v>0.6</v>
      </c>
      <c r="P73" s="479">
        <v>59</v>
      </c>
      <c r="Q73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0.7250384024577573</v>
      </c>
      <c r="R73" s="480">
        <f>IF(Tabela1154[[#This Row],[Percentual CONCLUINTES - Escola de Inovadores 2024 2°Semestre]]&gt;0,Tabela1154[[#This Row],[Percentual CONCLUINTES - Escola de Inovadores 2024 2°Semestre]]*0.4,0)</f>
        <v>0.29001536098310293</v>
      </c>
      <c r="S73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0.44500768049155148</v>
      </c>
      <c r="T73" s="481">
        <f t="shared" si="1"/>
        <v>0.5</v>
      </c>
    </row>
    <row r="74" spans="1:20">
      <c r="A74" s="472">
        <v>79</v>
      </c>
      <c r="B74" s="492" t="s">
        <v>124</v>
      </c>
      <c r="C74" s="473">
        <v>498</v>
      </c>
      <c r="D74" s="474">
        <f>Tabela1154[[#This Row],[MATRICULADOS 1° Semestre 2024]]*0.075</f>
        <v>37.35</v>
      </c>
      <c r="E74" s="475">
        <v>0</v>
      </c>
      <c r="F74" s="476">
        <f>IF(Tabela1154[[#This Row],[INSCRITOS - Escola de Inovadores - 1° Semestre 2024]]&lt;Tabela1154[[#This Row],[Linha de Base (7,5%) 1°Semestre]],0,1)</f>
        <v>0</v>
      </c>
      <c r="G74" s="477">
        <f>IF(Tabela1154[[#This Row],[Percentual INSCRITOS - Escola de Inovadores - 2024]]&gt;0,Tabela1154[[#This Row],[Percentual INSCRITOS - Escola de Inovadores - 2024]]*0.6,0)</f>
        <v>0</v>
      </c>
      <c r="H74" s="475">
        <v>0</v>
      </c>
      <c r="I74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74" s="476">
        <f>IF(Tabela1154[[#This Row],[X = Percentual de inscritos na escola de inovadores para o cumprimento de meta ( Peso 0,60)]]=0, 0, Tabela1154[[#This Row],[Percentual CONCLUINTES - Escola de Inovadores 2024]]*0.4)</f>
        <v>0</v>
      </c>
      <c r="K74" s="473">
        <v>462</v>
      </c>
      <c r="L74" s="478">
        <f>Tabela1154[[#This Row],[Matriculados 2°Semestre em Curso]]*0.075</f>
        <v>34.65</v>
      </c>
      <c r="M74" s="479">
        <v>35</v>
      </c>
      <c r="N74" s="480">
        <f>IF(Tabela1154[[#This Row],[INSCRITOS - Escola de Inovadores - 2°Semestre 2024]]&lt;Tabela1154[[#This Row],[Linha de Base (7,5%) 2°Semestre]], 0,1)</f>
        <v>1</v>
      </c>
      <c r="O74" s="480">
        <f>IF(Tabela1154[[#This Row],[Taxa de Inscritos 2° Semestre 2024]]&gt;0,Tabela1154[[#This Row],[Taxa de Inscritos 2° Semestre 2024]]*0.6,0)</f>
        <v>0.6</v>
      </c>
      <c r="P74" s="479">
        <v>1</v>
      </c>
      <c r="Q74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2.886002886002886E-2</v>
      </c>
      <c r="R74" s="480">
        <f>IF(Tabela1154[[#This Row],[Percentual CONCLUINTES - Escola de Inovadores 2024 2°Semestre]]&gt;0,Tabela1154[[#This Row],[Percentual CONCLUINTES - Escola de Inovadores 2024 2°Semestre]]*0.4,0)</f>
        <v>1.1544011544011544E-2</v>
      </c>
      <c r="S74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0.30577200577200575</v>
      </c>
      <c r="T74" s="481">
        <f t="shared" si="1"/>
        <v>0</v>
      </c>
    </row>
    <row r="75" spans="1:20">
      <c r="A75" s="472">
        <v>80</v>
      </c>
      <c r="B75" s="492" t="s">
        <v>217</v>
      </c>
      <c r="C75" s="473">
        <v>365</v>
      </c>
      <c r="D75" s="474">
        <f>Tabela1154[[#This Row],[MATRICULADOS 1° Semestre 2024]]*0.075</f>
        <v>27.375</v>
      </c>
      <c r="E75" s="475">
        <v>63</v>
      </c>
      <c r="F75" s="476">
        <f>IF(Tabela1154[[#This Row],[INSCRITOS - Escola de Inovadores - 1° Semestre 2024]]&lt;Tabela1154[[#This Row],[Linha de Base (7,5%) 1°Semestre]],0,1)</f>
        <v>1</v>
      </c>
      <c r="G75" s="477">
        <f>IF(Tabela1154[[#This Row],[Percentual INSCRITOS - Escola de Inovadores - 2024]]&gt;0,Tabela1154[[#This Row],[Percentual INSCRITOS - Escola de Inovadores - 2024]]*0.6,0)</f>
        <v>0.6</v>
      </c>
      <c r="H75" s="475">
        <v>50</v>
      </c>
      <c r="I75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75" s="476">
        <f>IF(Tabela1154[[#This Row],[X = Percentual de inscritos na escola de inovadores para o cumprimento de meta ( Peso 0,60)]]=0, 0, Tabela1154[[#This Row],[Percentual CONCLUINTES - Escola de Inovadores 2024]]*0.4)</f>
        <v>0.4</v>
      </c>
      <c r="K75" s="473">
        <v>322</v>
      </c>
      <c r="L75" s="478">
        <f>Tabela1154[[#This Row],[Matriculados 2°Semestre em Curso]]*0.075</f>
        <v>24.15</v>
      </c>
      <c r="M75" s="479">
        <v>22</v>
      </c>
      <c r="N75" s="480">
        <f>IF(Tabela1154[[#This Row],[INSCRITOS - Escola de Inovadores - 2°Semestre 2024]]&lt;Tabela1154[[#This Row],[Linha de Base (7,5%) 2°Semestre]], 0,1)</f>
        <v>0</v>
      </c>
      <c r="O75" s="480">
        <f>IF(Tabela1154[[#This Row],[Taxa de Inscritos 2° Semestre 2024]]&gt;0,Tabela1154[[#This Row],[Taxa de Inscritos 2° Semestre 2024]]*0.6,0)</f>
        <v>0</v>
      </c>
      <c r="P75" s="479">
        <v>8</v>
      </c>
      <c r="Q75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75" s="480">
        <f>IF(Tabela1154[[#This Row],[Percentual CONCLUINTES - Escola de Inovadores 2024 2°Semestre]]&gt;0,Tabela1154[[#This Row],[Percentual CONCLUINTES - Escola de Inovadores 2024 2°Semestre]]*0.4,0)</f>
        <v>0</v>
      </c>
      <c r="S75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75" s="481">
        <f t="shared" si="1"/>
        <v>0.6</v>
      </c>
    </row>
    <row r="76" spans="1:20">
      <c r="A76" s="472">
        <v>81</v>
      </c>
      <c r="B76" s="492" t="s">
        <v>123</v>
      </c>
      <c r="C76" s="473">
        <v>670</v>
      </c>
      <c r="D76" s="474">
        <f>Tabela1154[[#This Row],[MATRICULADOS 1° Semestre 2024]]*0.075</f>
        <v>50.25</v>
      </c>
      <c r="E76" s="475">
        <v>160</v>
      </c>
      <c r="F76" s="476">
        <f>IF(Tabela1154[[#This Row],[INSCRITOS - Escola de Inovadores - 1° Semestre 2024]]&lt;Tabela1154[[#This Row],[Linha de Base (7,5%) 1°Semestre]],0,1)</f>
        <v>1</v>
      </c>
      <c r="G76" s="477">
        <f>IF(Tabela1154[[#This Row],[Percentual INSCRITOS - Escola de Inovadores - 2024]]&gt;0,Tabela1154[[#This Row],[Percentual INSCRITOS - Escola de Inovadores - 2024]]*0.6,0)</f>
        <v>0.6</v>
      </c>
      <c r="H76" s="475">
        <v>91</v>
      </c>
      <c r="I76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76" s="476">
        <f>IF(Tabela1154[[#This Row],[X = Percentual de inscritos na escola de inovadores para o cumprimento de meta ( Peso 0,60)]]=0, 0, Tabela1154[[#This Row],[Percentual CONCLUINTES - Escola de Inovadores 2024]]*0.4)</f>
        <v>0.4</v>
      </c>
      <c r="K76" s="473">
        <v>572</v>
      </c>
      <c r="L76" s="478">
        <f>Tabela1154[[#This Row],[Matriculados 2°Semestre em Curso]]*0.075</f>
        <v>42.9</v>
      </c>
      <c r="M76" s="479">
        <v>1</v>
      </c>
      <c r="N76" s="480">
        <f>IF(Tabela1154[[#This Row],[INSCRITOS - Escola de Inovadores - 2°Semestre 2024]]&lt;Tabela1154[[#This Row],[Linha de Base (7,5%) 2°Semestre]], 0,1)</f>
        <v>0</v>
      </c>
      <c r="O76" s="480">
        <f>IF(Tabela1154[[#This Row],[Taxa de Inscritos 2° Semestre 2024]]&gt;0,Tabela1154[[#This Row],[Taxa de Inscritos 2° Semestre 2024]]*0.6,0)</f>
        <v>0</v>
      </c>
      <c r="P76" s="479">
        <v>0</v>
      </c>
      <c r="Q76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76" s="480">
        <f>IF(Tabela1154[[#This Row],[Percentual CONCLUINTES - Escola de Inovadores 2024 2°Semestre]]&gt;0,Tabela1154[[#This Row],[Percentual CONCLUINTES - Escola de Inovadores 2024 2°Semestre]]*0.4,0)</f>
        <v>0</v>
      </c>
      <c r="S76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76" s="481">
        <f t="shared" si="1"/>
        <v>0.6</v>
      </c>
    </row>
    <row r="77" spans="1:20">
      <c r="A77" s="472">
        <v>82</v>
      </c>
      <c r="B77" s="492" t="s">
        <v>179</v>
      </c>
      <c r="C77" s="473">
        <v>704</v>
      </c>
      <c r="D77" s="474">
        <f>Tabela1154[[#This Row],[MATRICULADOS 1° Semestre 2024]]*0.075</f>
        <v>52.8</v>
      </c>
      <c r="E77" s="475">
        <v>67</v>
      </c>
      <c r="F77" s="476">
        <f>IF(Tabela1154[[#This Row],[INSCRITOS - Escola de Inovadores - 1° Semestre 2024]]&lt;Tabela1154[[#This Row],[Linha de Base (7,5%) 1°Semestre]],0,1)</f>
        <v>1</v>
      </c>
      <c r="G77" s="477">
        <f>IF(Tabela1154[[#This Row],[Percentual INSCRITOS - Escola de Inovadores - 2024]]&gt;0,Tabela1154[[#This Row],[Percentual INSCRITOS - Escola de Inovadores - 2024]]*0.6,0)</f>
        <v>0.6</v>
      </c>
      <c r="H77" s="475">
        <v>14</v>
      </c>
      <c r="I77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0.26515151515151514</v>
      </c>
      <c r="J77" s="476">
        <f>IF(Tabela1154[[#This Row],[X = Percentual de inscritos na escola de inovadores para o cumprimento de meta ( Peso 0,60)]]=0, 0, Tabela1154[[#This Row],[Percentual CONCLUINTES - Escola de Inovadores 2024]]*0.4)</f>
        <v>0.10606060606060606</v>
      </c>
      <c r="K77" s="473">
        <v>649</v>
      </c>
      <c r="L77" s="478">
        <f>Tabela1154[[#This Row],[Matriculados 2°Semestre em Curso]]*0.075</f>
        <v>48.674999999999997</v>
      </c>
      <c r="M77" s="479">
        <v>4</v>
      </c>
      <c r="N77" s="480">
        <f>IF(Tabela1154[[#This Row],[INSCRITOS - Escola de Inovadores - 2°Semestre 2024]]&lt;Tabela1154[[#This Row],[Linha de Base (7,5%) 2°Semestre]], 0,1)</f>
        <v>0</v>
      </c>
      <c r="O77" s="480">
        <f>IF(Tabela1154[[#This Row],[Taxa de Inscritos 2° Semestre 2024]]&gt;0,Tabela1154[[#This Row],[Taxa de Inscritos 2° Semestre 2024]]*0.6,0)</f>
        <v>0</v>
      </c>
      <c r="P77" s="479">
        <v>0</v>
      </c>
      <c r="Q77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77" s="480">
        <f>IF(Tabela1154[[#This Row],[Percentual CONCLUINTES - Escola de Inovadores 2024 2°Semestre]]&gt;0,Tabela1154[[#This Row],[Percentual CONCLUINTES - Escola de Inovadores 2024 2°Semestre]]*0.4,0)</f>
        <v>0</v>
      </c>
      <c r="S77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0.35303030303030303</v>
      </c>
      <c r="T77" s="481">
        <f t="shared" si="1"/>
        <v>0</v>
      </c>
    </row>
    <row r="78" spans="1:20">
      <c r="A78" s="472">
        <v>83</v>
      </c>
      <c r="B78" s="492" t="s">
        <v>65</v>
      </c>
      <c r="C78" s="473">
        <v>201</v>
      </c>
      <c r="D78" s="474">
        <f>Tabela1154[[#This Row],[MATRICULADOS 1° Semestre 2024]]*0.075</f>
        <v>15.074999999999999</v>
      </c>
      <c r="E78" s="475">
        <v>22</v>
      </c>
      <c r="F78" s="476">
        <f>IF(Tabela1154[[#This Row],[INSCRITOS - Escola de Inovadores - 1° Semestre 2024]]&lt;Tabela1154[[#This Row],[Linha de Base (7,5%) 1°Semestre]],0,1)</f>
        <v>1</v>
      </c>
      <c r="G78" s="477">
        <f>IF(Tabela1154[[#This Row],[Percentual INSCRITOS - Escola de Inovadores - 2024]]&gt;0,Tabela1154[[#This Row],[Percentual INSCRITOS - Escola de Inovadores - 2024]]*0.6,0)</f>
        <v>0.6</v>
      </c>
      <c r="H78" s="475">
        <v>15</v>
      </c>
      <c r="I78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0.99502487562189057</v>
      </c>
      <c r="J78" s="476">
        <f>IF(Tabela1154[[#This Row],[X = Percentual de inscritos na escola de inovadores para o cumprimento de meta ( Peso 0,60)]]=0, 0, Tabela1154[[#This Row],[Percentual CONCLUINTES - Escola de Inovadores 2024]]*0.4)</f>
        <v>0.39800995024875624</v>
      </c>
      <c r="K78" s="473">
        <v>191</v>
      </c>
      <c r="L78" s="478">
        <f>Tabela1154[[#This Row],[Matriculados 2°Semestre em Curso]]*0.075</f>
        <v>14.324999999999999</v>
      </c>
      <c r="M78" s="479">
        <v>19</v>
      </c>
      <c r="N78" s="480">
        <f>IF(Tabela1154[[#This Row],[INSCRITOS - Escola de Inovadores - 2°Semestre 2024]]&lt;Tabela1154[[#This Row],[Linha de Base (7,5%) 2°Semestre]], 0,1)</f>
        <v>1</v>
      </c>
      <c r="O78" s="480">
        <f>IF(Tabela1154[[#This Row],[Taxa de Inscritos 2° Semestre 2024]]&gt;0,Tabela1154[[#This Row],[Taxa de Inscritos 2° Semestre 2024]]*0.6,0)</f>
        <v>0.6</v>
      </c>
      <c r="P78" s="479">
        <v>13</v>
      </c>
      <c r="Q78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0.9075043630017452</v>
      </c>
      <c r="R78" s="480">
        <f>IF(Tabela1154[[#This Row],[Percentual CONCLUINTES - Escola de Inovadores 2024 2°Semestre]]&gt;0,Tabela1154[[#This Row],[Percentual CONCLUINTES - Escola de Inovadores 2024 2°Semestre]]*0.4,0)</f>
        <v>0.36300174520069811</v>
      </c>
      <c r="S78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0.98050584772472726</v>
      </c>
      <c r="T78" s="481">
        <f t="shared" si="1"/>
        <v>1</v>
      </c>
    </row>
    <row r="79" spans="1:20">
      <c r="A79" s="472">
        <v>84</v>
      </c>
      <c r="B79" s="492" t="s">
        <v>125</v>
      </c>
      <c r="C79" s="473">
        <v>703</v>
      </c>
      <c r="D79" s="474">
        <f>Tabela1154[[#This Row],[MATRICULADOS 1° Semestre 2024]]*0.075</f>
        <v>52.725000000000001</v>
      </c>
      <c r="E79" s="475">
        <v>25</v>
      </c>
      <c r="F79" s="476">
        <f>IF(Tabela1154[[#This Row],[INSCRITOS - Escola de Inovadores - 1° Semestre 2024]]&lt;Tabela1154[[#This Row],[Linha de Base (7,5%) 1°Semestre]],0,1)</f>
        <v>0</v>
      </c>
      <c r="G79" s="477">
        <f>IF(Tabela1154[[#This Row],[Percentual INSCRITOS - Escola de Inovadores - 2024]]&gt;0,Tabela1154[[#This Row],[Percentual INSCRITOS - Escola de Inovadores - 2024]]*0.6,0)</f>
        <v>0</v>
      </c>
      <c r="H79" s="475">
        <v>25</v>
      </c>
      <c r="I79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79" s="476">
        <f>IF(Tabela1154[[#This Row],[X = Percentual de inscritos na escola de inovadores para o cumprimento de meta ( Peso 0,60)]]=0, 0, Tabela1154[[#This Row],[Percentual CONCLUINTES - Escola de Inovadores 2024]]*0.4)</f>
        <v>0</v>
      </c>
      <c r="K79" s="473">
        <v>660</v>
      </c>
      <c r="L79" s="478">
        <f>Tabela1154[[#This Row],[Matriculados 2°Semestre em Curso]]*0.075</f>
        <v>49.5</v>
      </c>
      <c r="M79" s="479">
        <v>77</v>
      </c>
      <c r="N79" s="480">
        <f>IF(Tabela1154[[#This Row],[INSCRITOS - Escola de Inovadores - 2°Semestre 2024]]&lt;Tabela1154[[#This Row],[Linha de Base (7,5%) 2°Semestre]], 0,1)</f>
        <v>1</v>
      </c>
      <c r="O79" s="480">
        <f>IF(Tabela1154[[#This Row],[Taxa de Inscritos 2° Semestre 2024]]&gt;0,Tabela1154[[#This Row],[Taxa de Inscritos 2° Semestre 2024]]*0.6,0)</f>
        <v>0.6</v>
      </c>
      <c r="P79" s="479">
        <v>74</v>
      </c>
      <c r="Q79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1</v>
      </c>
      <c r="R79" s="480">
        <f>IF(Tabela1154[[#This Row],[Percentual CONCLUINTES - Escola de Inovadores 2024 2°Semestre]]&gt;0,Tabela1154[[#This Row],[Percentual CONCLUINTES - Escola de Inovadores 2024 2°Semestre]]*0.4,0)</f>
        <v>0.4</v>
      </c>
      <c r="S79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79" s="481">
        <f t="shared" si="1"/>
        <v>0.6</v>
      </c>
    </row>
    <row r="80" spans="1:20">
      <c r="A80" s="472">
        <v>85</v>
      </c>
      <c r="B80" s="492" t="s">
        <v>157</v>
      </c>
      <c r="C80" s="482">
        <v>1265</v>
      </c>
      <c r="D80" s="474">
        <f>Tabela1154[[#This Row],[MATRICULADOS 1° Semestre 2024]]*0.075</f>
        <v>94.875</v>
      </c>
      <c r="E80" s="483">
        <v>45</v>
      </c>
      <c r="F80" s="476">
        <f>IF(Tabela1154[[#This Row],[INSCRITOS - Escola de Inovadores - 1° Semestre 2024]]&lt;Tabela1154[[#This Row],[Linha de Base (7,5%) 1°Semestre]],0,1)</f>
        <v>0</v>
      </c>
      <c r="G80" s="477">
        <f>IF(Tabela1154[[#This Row],[Percentual INSCRITOS - Escola de Inovadores - 2024]]&gt;0,Tabela1154[[#This Row],[Percentual INSCRITOS - Escola de Inovadores - 2024]]*0.6,0)</f>
        <v>0</v>
      </c>
      <c r="H80" s="484">
        <v>5</v>
      </c>
      <c r="I80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80" s="476">
        <f>IF(Tabela1154[[#This Row],[X = Percentual de inscritos na escola de inovadores para o cumprimento de meta ( Peso 0,60)]]=0, 0, Tabela1154[[#This Row],[Percentual CONCLUINTES - Escola de Inovadores 2024]]*0.4)</f>
        <v>0</v>
      </c>
      <c r="K80" s="482">
        <v>1186</v>
      </c>
      <c r="L80" s="478">
        <f>Tabela1154[[#This Row],[Matriculados 2°Semestre em Curso]]*0.075</f>
        <v>88.95</v>
      </c>
      <c r="M80" s="479">
        <v>75</v>
      </c>
      <c r="N80" s="480">
        <f>IF(Tabela1154[[#This Row],[INSCRITOS - Escola de Inovadores - 2°Semestre 2024]]&lt;Tabela1154[[#This Row],[Linha de Base (7,5%) 2°Semestre]], 0,1)</f>
        <v>0</v>
      </c>
      <c r="O80" s="480">
        <f>IF(Tabela1154[[#This Row],[Taxa de Inscritos 2° Semestre 2024]]&gt;0,Tabela1154[[#This Row],[Taxa de Inscritos 2° Semestre 2024]]*0.6,0)</f>
        <v>0</v>
      </c>
      <c r="P80" s="479">
        <v>11</v>
      </c>
      <c r="Q80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80" s="480">
        <f>IF(Tabela1154[[#This Row],[Percentual CONCLUINTES - Escola de Inovadores 2024 2°Semestre]]&gt;0,Tabela1154[[#This Row],[Percentual CONCLUINTES - Escola de Inovadores 2024 2°Semestre]]*0.4,0)</f>
        <v>0</v>
      </c>
      <c r="S80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80" s="481">
        <f t="shared" si="1"/>
        <v>0</v>
      </c>
    </row>
    <row r="81" spans="1:20">
      <c r="A81" s="472">
        <v>86</v>
      </c>
      <c r="B81" s="492" t="s">
        <v>185</v>
      </c>
      <c r="C81" s="473">
        <v>459</v>
      </c>
      <c r="D81" s="474">
        <f>Tabela1154[[#This Row],[MATRICULADOS 1° Semestre 2024]]*0.075</f>
        <v>34.424999999999997</v>
      </c>
      <c r="E81" s="475">
        <v>80</v>
      </c>
      <c r="F81" s="476">
        <f>IF(Tabela1154[[#This Row],[INSCRITOS - Escola de Inovadores - 1° Semestre 2024]]&lt;Tabela1154[[#This Row],[Linha de Base (7,5%) 1°Semestre]],0,1)</f>
        <v>1</v>
      </c>
      <c r="G81" s="477">
        <f>IF(Tabela1154[[#This Row],[Percentual INSCRITOS - Escola de Inovadores - 2024]]&gt;0,Tabela1154[[#This Row],[Percentual INSCRITOS - Escola de Inovadores - 2024]]*0.6,0)</f>
        <v>0.6</v>
      </c>
      <c r="H81" s="475">
        <v>66</v>
      </c>
      <c r="I81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81" s="476">
        <f>IF(Tabela1154[[#This Row],[X = Percentual de inscritos na escola de inovadores para o cumprimento de meta ( Peso 0,60)]]=0, 0, Tabela1154[[#This Row],[Percentual CONCLUINTES - Escola de Inovadores 2024]]*0.4)</f>
        <v>0.4</v>
      </c>
      <c r="K81" s="473">
        <v>436</v>
      </c>
      <c r="L81" s="478">
        <f>Tabela1154[[#This Row],[Matriculados 2°Semestre em Curso]]*0.075</f>
        <v>32.699999999999996</v>
      </c>
      <c r="M81" s="479">
        <v>91</v>
      </c>
      <c r="N81" s="480">
        <f>IF(Tabela1154[[#This Row],[INSCRITOS - Escola de Inovadores - 2°Semestre 2024]]&lt;Tabela1154[[#This Row],[Linha de Base (7,5%) 2°Semestre]], 0,1)</f>
        <v>1</v>
      </c>
      <c r="O81" s="480">
        <f>IF(Tabela1154[[#This Row],[Taxa de Inscritos 2° Semestre 2024]]&gt;0,Tabela1154[[#This Row],[Taxa de Inscritos 2° Semestre 2024]]*0.6,0)</f>
        <v>0.6</v>
      </c>
      <c r="P81" s="479">
        <v>70</v>
      </c>
      <c r="Q81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1</v>
      </c>
      <c r="R81" s="480">
        <f>IF(Tabela1154[[#This Row],[Percentual CONCLUINTES - Escola de Inovadores 2024 2°Semestre]]&gt;0,Tabela1154[[#This Row],[Percentual CONCLUINTES - Escola de Inovadores 2024 2°Semestre]]*0.4,0)</f>
        <v>0.4</v>
      </c>
      <c r="S81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1</v>
      </c>
      <c r="T81" s="481">
        <f t="shared" si="1"/>
        <v>1</v>
      </c>
    </row>
    <row r="82" spans="1:20">
      <c r="A82" s="472">
        <v>87</v>
      </c>
      <c r="B82" s="492" t="s">
        <v>35</v>
      </c>
      <c r="C82" s="473">
        <v>199</v>
      </c>
      <c r="D82" s="474">
        <f>Tabela1154[[#This Row],[MATRICULADOS 1° Semestre 2024]]*0.075</f>
        <v>14.924999999999999</v>
      </c>
      <c r="E82" s="475">
        <v>13</v>
      </c>
      <c r="F82" s="476">
        <f>IF(Tabela1154[[#This Row],[INSCRITOS - Escola de Inovadores - 1° Semestre 2024]]&lt;Tabela1154[[#This Row],[Linha de Base (7,5%) 1°Semestre]],0,1)</f>
        <v>0</v>
      </c>
      <c r="G82" s="477">
        <f>IF(Tabela1154[[#This Row],[Percentual INSCRITOS - Escola de Inovadores - 2024]]&gt;0,Tabela1154[[#This Row],[Percentual INSCRITOS - Escola de Inovadores - 2024]]*0.6,0)</f>
        <v>0</v>
      </c>
      <c r="H82" s="475">
        <v>0</v>
      </c>
      <c r="I82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82" s="476">
        <f>IF(Tabela1154[[#This Row],[X = Percentual de inscritos na escola de inovadores para o cumprimento de meta ( Peso 0,60)]]=0, 0, Tabela1154[[#This Row],[Percentual CONCLUINTES - Escola de Inovadores 2024]]*0.4)</f>
        <v>0</v>
      </c>
      <c r="K82" s="473">
        <v>217</v>
      </c>
      <c r="L82" s="478">
        <f>Tabela1154[[#This Row],[Matriculados 2°Semestre em Curso]]*0.075</f>
        <v>16.274999999999999</v>
      </c>
      <c r="M82" s="479">
        <v>30</v>
      </c>
      <c r="N82" s="480">
        <f>IF(Tabela1154[[#This Row],[INSCRITOS - Escola de Inovadores - 2°Semestre 2024]]&lt;Tabela1154[[#This Row],[Linha de Base (7,5%) 2°Semestre]], 0,1)</f>
        <v>1</v>
      </c>
      <c r="O82" s="480">
        <f>IF(Tabela1154[[#This Row],[Taxa de Inscritos 2° Semestre 2024]]&gt;0,Tabela1154[[#This Row],[Taxa de Inscritos 2° Semestre 2024]]*0.6,0)</f>
        <v>0.6</v>
      </c>
      <c r="P82" s="479">
        <v>0</v>
      </c>
      <c r="Q82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82" s="480">
        <f>IF(Tabela1154[[#This Row],[Percentual CONCLUINTES - Escola de Inovadores 2024 2°Semestre]]&gt;0,Tabela1154[[#This Row],[Percentual CONCLUINTES - Escola de Inovadores 2024 2°Semestre]]*0.4,0)</f>
        <v>0</v>
      </c>
      <c r="S82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</v>
      </c>
      <c r="T82" s="481">
        <f t="shared" si="1"/>
        <v>0</v>
      </c>
    </row>
    <row r="83" spans="1:20">
      <c r="A83" s="472">
        <v>88</v>
      </c>
      <c r="B83" s="492" t="s">
        <v>153</v>
      </c>
      <c r="C83" s="473">
        <v>935</v>
      </c>
      <c r="D83" s="474">
        <f>Tabela1154[[#This Row],[MATRICULADOS 1° Semestre 2024]]*0.075</f>
        <v>70.125</v>
      </c>
      <c r="E83" s="475">
        <v>119</v>
      </c>
      <c r="F83" s="476">
        <f>IF(Tabela1154[[#This Row],[INSCRITOS - Escola de Inovadores - 1° Semestre 2024]]&lt;Tabela1154[[#This Row],[Linha de Base (7,5%) 1°Semestre]],0,1)</f>
        <v>1</v>
      </c>
      <c r="G83" s="477">
        <f>IF(Tabela1154[[#This Row],[Percentual INSCRITOS - Escola de Inovadores - 2024]]&gt;0,Tabela1154[[#This Row],[Percentual INSCRITOS - Escola de Inovadores - 2024]]*0.6,0)</f>
        <v>0.6</v>
      </c>
      <c r="H83" s="475">
        <v>42</v>
      </c>
      <c r="I83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0.59893048128342241</v>
      </c>
      <c r="J83" s="476">
        <f>IF(Tabela1154[[#This Row],[X = Percentual de inscritos na escola de inovadores para o cumprimento de meta ( Peso 0,60)]]=0, 0, Tabela1154[[#This Row],[Percentual CONCLUINTES - Escola de Inovadores 2024]]*0.4)</f>
        <v>0.23957219251336898</v>
      </c>
      <c r="K83" s="473">
        <v>884</v>
      </c>
      <c r="L83" s="478">
        <f>Tabela1154[[#This Row],[Matriculados 2°Semestre em Curso]]*0.075</f>
        <v>66.3</v>
      </c>
      <c r="M83" s="479">
        <v>133</v>
      </c>
      <c r="N83" s="480">
        <f>IF(Tabela1154[[#This Row],[INSCRITOS - Escola de Inovadores - 2°Semestre 2024]]&lt;Tabela1154[[#This Row],[Linha de Base (7,5%) 2°Semestre]], 0,1)</f>
        <v>1</v>
      </c>
      <c r="O83" s="480">
        <f>IF(Tabela1154[[#This Row],[Taxa de Inscritos 2° Semestre 2024]]&gt;0,Tabela1154[[#This Row],[Taxa de Inscritos 2° Semestre 2024]]*0.6,0)</f>
        <v>0.6</v>
      </c>
      <c r="P83" s="479">
        <v>62</v>
      </c>
      <c r="Q83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0.93514328808446456</v>
      </c>
      <c r="R83" s="480">
        <f>IF(Tabela1154[[#This Row],[Percentual CONCLUINTES - Escola de Inovadores 2024 2°Semestre]]&gt;0,Tabela1154[[#This Row],[Percentual CONCLUINTES - Escola de Inovadores 2024 2°Semestre]]*0.4,0)</f>
        <v>0.37405731523378583</v>
      </c>
      <c r="S83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0.90681475387357735</v>
      </c>
      <c r="T83" s="481">
        <f t="shared" si="1"/>
        <v>1</v>
      </c>
    </row>
    <row r="84" spans="1:20">
      <c r="A84" s="472">
        <v>89</v>
      </c>
      <c r="B84" s="492" t="s">
        <v>205</v>
      </c>
      <c r="C84" s="473">
        <v>235</v>
      </c>
      <c r="D84" s="474">
        <f>Tabela1154[[#This Row],[MATRICULADOS 1° Semestre 2024]]*0.075</f>
        <v>17.625</v>
      </c>
      <c r="E84" s="475">
        <v>27</v>
      </c>
      <c r="F84" s="476">
        <f>IF(Tabela1154[[#This Row],[INSCRITOS - Escola de Inovadores - 1° Semestre 2024]]&lt;Tabela1154[[#This Row],[Linha de Base (7,5%) 1°Semestre]],0,1)</f>
        <v>1</v>
      </c>
      <c r="G84" s="477">
        <f>IF(Tabela1154[[#This Row],[Percentual INSCRITOS - Escola de Inovadores - 2024]]&gt;0,Tabela1154[[#This Row],[Percentual INSCRITOS - Escola de Inovadores - 2024]]*0.6,0)</f>
        <v>0.6</v>
      </c>
      <c r="H84" s="475">
        <v>0</v>
      </c>
      <c r="I84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84" s="476">
        <f>IF(Tabela1154[[#This Row],[X = Percentual de inscritos na escola de inovadores para o cumprimento de meta ( Peso 0,60)]]=0, 0, Tabela1154[[#This Row],[Percentual CONCLUINTES - Escola de Inovadores 2024]]*0.4)</f>
        <v>0</v>
      </c>
      <c r="K84" s="473">
        <v>222</v>
      </c>
      <c r="L84" s="478">
        <f>Tabela1154[[#This Row],[Matriculados 2°Semestre em Curso]]*0.075</f>
        <v>16.649999999999999</v>
      </c>
      <c r="M84" s="479">
        <v>28</v>
      </c>
      <c r="N84" s="480">
        <f>IF(Tabela1154[[#This Row],[INSCRITOS - Escola de Inovadores - 2°Semestre 2024]]&lt;Tabela1154[[#This Row],[Linha de Base (7,5%) 2°Semestre]], 0,1)</f>
        <v>1</v>
      </c>
      <c r="O84" s="480">
        <f>IF(Tabela1154[[#This Row],[Taxa de Inscritos 2° Semestre 2024]]&gt;0,Tabela1154[[#This Row],[Taxa de Inscritos 2° Semestre 2024]]*0.6,0)</f>
        <v>0.6</v>
      </c>
      <c r="P84" s="479">
        <v>21</v>
      </c>
      <c r="Q84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1</v>
      </c>
      <c r="R84" s="480">
        <f>IF(Tabela1154[[#This Row],[Percentual CONCLUINTES - Escola de Inovadores 2024 2°Semestre]]&gt;0,Tabela1154[[#This Row],[Percentual CONCLUINTES - Escola de Inovadores 2024 2°Semestre]]*0.4,0)</f>
        <v>0.4</v>
      </c>
      <c r="S84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0.8</v>
      </c>
      <c r="T84" s="481">
        <f t="shared" si="1"/>
        <v>1</v>
      </c>
    </row>
    <row r="85" spans="1:20">
      <c r="A85" s="472">
        <v>90</v>
      </c>
      <c r="B85" s="492" t="s">
        <v>102</v>
      </c>
      <c r="C85" s="473">
        <v>168</v>
      </c>
      <c r="D85" s="474">
        <f>Tabela1154[[#This Row],[MATRICULADOS 1° Semestre 2024]]*0.075</f>
        <v>12.6</v>
      </c>
      <c r="E85" s="475">
        <v>16</v>
      </c>
      <c r="F85" s="476">
        <f>IF(Tabela1154[[#This Row],[INSCRITOS - Escola de Inovadores - 1° Semestre 2024]]&lt;Tabela1154[[#This Row],[Linha de Base (7,5%) 1°Semestre]],0,1)</f>
        <v>1</v>
      </c>
      <c r="G85" s="477">
        <f>IF(Tabela1154[[#This Row],[Percentual INSCRITOS - Escola de Inovadores - 2024]]&gt;0,Tabela1154[[#This Row],[Percentual INSCRITOS - Escola de Inovadores - 2024]]*0.6,0)</f>
        <v>0.6</v>
      </c>
      <c r="H85" s="475">
        <v>1</v>
      </c>
      <c r="I85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7.9365079365079361E-2</v>
      </c>
      <c r="J85" s="476">
        <f>IF(Tabela1154[[#This Row],[X = Percentual de inscritos na escola de inovadores para o cumprimento de meta ( Peso 0,60)]]=0, 0, Tabela1154[[#This Row],[Percentual CONCLUINTES - Escola de Inovadores 2024]]*0.4)</f>
        <v>3.1746031746031744E-2</v>
      </c>
      <c r="K85" s="473">
        <v>160</v>
      </c>
      <c r="L85" s="478">
        <f>Tabela1154[[#This Row],[Matriculados 2°Semestre em Curso]]*0.075</f>
        <v>12</v>
      </c>
      <c r="M85" s="479">
        <v>19</v>
      </c>
      <c r="N85" s="480">
        <f>IF(Tabela1154[[#This Row],[INSCRITOS - Escola de Inovadores - 2°Semestre 2024]]&lt;Tabela1154[[#This Row],[Linha de Base (7,5%) 2°Semestre]], 0,1)</f>
        <v>1</v>
      </c>
      <c r="O85" s="480">
        <f>IF(Tabela1154[[#This Row],[Taxa de Inscritos 2° Semestre 2024]]&gt;0,Tabela1154[[#This Row],[Taxa de Inscritos 2° Semestre 2024]]*0.6,0)</f>
        <v>0.6</v>
      </c>
      <c r="P85" s="479">
        <v>0</v>
      </c>
      <c r="Q85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85" s="480">
        <f>IF(Tabela1154[[#This Row],[Percentual CONCLUINTES - Escola de Inovadores 2024 2°Semestre]]&gt;0,Tabela1154[[#This Row],[Percentual CONCLUINTES - Escola de Inovadores 2024 2°Semestre]]*0.4,0)</f>
        <v>0</v>
      </c>
      <c r="S85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0.61587301587301591</v>
      </c>
      <c r="T85" s="481">
        <f t="shared" si="1"/>
        <v>0.7</v>
      </c>
    </row>
    <row r="86" spans="1:20">
      <c r="A86" s="472">
        <v>91</v>
      </c>
      <c r="B86" s="492" t="s">
        <v>176</v>
      </c>
      <c r="C86" s="473">
        <v>901</v>
      </c>
      <c r="D86" s="474">
        <f>Tabela1154[[#This Row],[MATRICULADOS 1° Semestre 2024]]*0.075</f>
        <v>67.575000000000003</v>
      </c>
      <c r="E86" s="475">
        <v>19</v>
      </c>
      <c r="F86" s="476">
        <f>IF(Tabela1154[[#This Row],[INSCRITOS - Escola de Inovadores - 1° Semestre 2024]]&lt;Tabela1154[[#This Row],[Linha de Base (7,5%) 1°Semestre]],0,1)</f>
        <v>0</v>
      </c>
      <c r="G86" s="477">
        <f>IF(Tabela1154[[#This Row],[Percentual INSCRITOS - Escola de Inovadores - 2024]]&gt;0,Tabela1154[[#This Row],[Percentual INSCRITOS - Escola de Inovadores - 2024]]*0.6,0)</f>
        <v>0</v>
      </c>
      <c r="H86" s="475">
        <v>1</v>
      </c>
      <c r="I86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86" s="476">
        <f>IF(Tabela1154[[#This Row],[X = Percentual de inscritos na escola de inovadores para o cumprimento de meta ( Peso 0,60)]]=0, 0, Tabela1154[[#This Row],[Percentual CONCLUINTES - Escola de Inovadores 2024]]*0.4)</f>
        <v>0</v>
      </c>
      <c r="K86" s="473">
        <v>908</v>
      </c>
      <c r="L86" s="478">
        <f>Tabela1154[[#This Row],[Matriculados 2°Semestre em Curso]]*0.075</f>
        <v>68.099999999999994</v>
      </c>
      <c r="M86" s="479">
        <v>53</v>
      </c>
      <c r="N86" s="480">
        <f>IF(Tabela1154[[#This Row],[INSCRITOS - Escola de Inovadores - 2°Semestre 2024]]&lt;Tabela1154[[#This Row],[Linha de Base (7,5%) 2°Semestre]], 0,1)</f>
        <v>0</v>
      </c>
      <c r="O86" s="480">
        <f>IF(Tabela1154[[#This Row],[Taxa de Inscritos 2° Semestre 2024]]&gt;0,Tabela1154[[#This Row],[Taxa de Inscritos 2° Semestre 2024]]*0.6,0)</f>
        <v>0</v>
      </c>
      <c r="P86" s="479">
        <v>3</v>
      </c>
      <c r="Q86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86" s="480">
        <f>IF(Tabela1154[[#This Row],[Percentual CONCLUINTES - Escola de Inovadores 2024 2°Semestre]]&gt;0,Tabela1154[[#This Row],[Percentual CONCLUINTES - Escola de Inovadores 2024 2°Semestre]]*0.4,0)</f>
        <v>0</v>
      </c>
      <c r="S86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86" s="481">
        <f t="shared" si="1"/>
        <v>0</v>
      </c>
    </row>
    <row r="87" spans="1:20">
      <c r="A87" s="472">
        <v>92</v>
      </c>
      <c r="B87" s="492" t="s">
        <v>154</v>
      </c>
      <c r="C87" s="473">
        <v>216</v>
      </c>
      <c r="D87" s="474">
        <f>Tabela1154[[#This Row],[MATRICULADOS 1° Semestre 2024]]*0.075</f>
        <v>16.2</v>
      </c>
      <c r="E87" s="475">
        <v>9</v>
      </c>
      <c r="F87" s="476">
        <f>IF(Tabela1154[[#This Row],[INSCRITOS - Escola de Inovadores - 1° Semestre 2024]]&lt;Tabela1154[[#This Row],[Linha de Base (7,5%) 1°Semestre]],0,1)</f>
        <v>0</v>
      </c>
      <c r="G87" s="477">
        <f>IF(Tabela1154[[#This Row],[Percentual INSCRITOS - Escola de Inovadores - 2024]]&gt;0,Tabela1154[[#This Row],[Percentual INSCRITOS - Escola de Inovadores - 2024]]*0.6,0)</f>
        <v>0</v>
      </c>
      <c r="H87" s="475">
        <v>1</v>
      </c>
      <c r="I87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87" s="476">
        <f>IF(Tabela1154[[#This Row],[X = Percentual de inscritos na escola de inovadores para o cumprimento de meta ( Peso 0,60)]]=0, 0, Tabela1154[[#This Row],[Percentual CONCLUINTES - Escola de Inovadores 2024]]*0.4)</f>
        <v>0</v>
      </c>
      <c r="K87" s="473">
        <v>207</v>
      </c>
      <c r="L87" s="478">
        <f>Tabela1154[[#This Row],[Matriculados 2°Semestre em Curso]]*0.075</f>
        <v>15.524999999999999</v>
      </c>
      <c r="M87" s="479">
        <v>36</v>
      </c>
      <c r="N87" s="480">
        <f>IF(Tabela1154[[#This Row],[INSCRITOS - Escola de Inovadores - 2°Semestre 2024]]&lt;Tabela1154[[#This Row],[Linha de Base (7,5%) 2°Semestre]], 0,1)</f>
        <v>1</v>
      </c>
      <c r="O87" s="480">
        <f>IF(Tabela1154[[#This Row],[Taxa de Inscritos 2° Semestre 2024]]&gt;0,Tabela1154[[#This Row],[Taxa de Inscritos 2° Semestre 2024]]*0.6,0)</f>
        <v>0.6</v>
      </c>
      <c r="P87" s="479">
        <v>0</v>
      </c>
      <c r="Q87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87" s="480">
        <f>IF(Tabela1154[[#This Row],[Percentual CONCLUINTES - Escola de Inovadores 2024 2°Semestre]]&gt;0,Tabela1154[[#This Row],[Percentual CONCLUINTES - Escola de Inovadores 2024 2°Semestre]]*0.4,0)</f>
        <v>0</v>
      </c>
      <c r="S87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</v>
      </c>
      <c r="T87" s="481">
        <f t="shared" si="1"/>
        <v>0</v>
      </c>
    </row>
    <row r="88" spans="1:20">
      <c r="A88" s="472">
        <v>93</v>
      </c>
      <c r="B88" s="492" t="s">
        <v>207</v>
      </c>
      <c r="C88" s="473">
        <v>269</v>
      </c>
      <c r="D88" s="474">
        <f>Tabela1154[[#This Row],[MATRICULADOS 1° Semestre 2024]]*0.075</f>
        <v>20.175000000000001</v>
      </c>
      <c r="E88" s="475">
        <v>71</v>
      </c>
      <c r="F88" s="476">
        <f>IF(Tabela1154[[#This Row],[INSCRITOS - Escola de Inovadores - 1° Semestre 2024]]&lt;Tabela1154[[#This Row],[Linha de Base (7,5%) 1°Semestre]],0,1)</f>
        <v>1</v>
      </c>
      <c r="G88" s="477">
        <f>IF(Tabela1154[[#This Row],[Percentual INSCRITOS - Escola de Inovadores - 2024]]&gt;0,Tabela1154[[#This Row],[Percentual INSCRITOS - Escola de Inovadores - 2024]]*0.6,0)</f>
        <v>0.6</v>
      </c>
      <c r="H88" s="475">
        <v>6</v>
      </c>
      <c r="I88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0.29739776951672864</v>
      </c>
      <c r="J88" s="476">
        <f>IF(Tabela1154[[#This Row],[X = Percentual de inscritos na escola de inovadores para o cumprimento de meta ( Peso 0,60)]]=0, 0, Tabela1154[[#This Row],[Percentual CONCLUINTES - Escola de Inovadores 2024]]*0.4)</f>
        <v>0.11895910780669146</v>
      </c>
      <c r="K88" s="473">
        <v>231</v>
      </c>
      <c r="L88" s="478">
        <f>Tabela1154[[#This Row],[Matriculados 2°Semestre em Curso]]*0.075</f>
        <v>17.324999999999999</v>
      </c>
      <c r="M88" s="479">
        <v>78</v>
      </c>
      <c r="N88" s="480">
        <f>IF(Tabela1154[[#This Row],[INSCRITOS - Escola de Inovadores - 2°Semestre 2024]]&lt;Tabela1154[[#This Row],[Linha de Base (7,5%) 2°Semestre]], 0,1)</f>
        <v>1</v>
      </c>
      <c r="O88" s="480">
        <f>IF(Tabela1154[[#This Row],[Taxa de Inscritos 2° Semestre 2024]]&gt;0,Tabela1154[[#This Row],[Taxa de Inscritos 2° Semestre 2024]]*0.6,0)</f>
        <v>0.6</v>
      </c>
      <c r="P88" s="479">
        <v>38</v>
      </c>
      <c r="Q88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1</v>
      </c>
      <c r="R88" s="480">
        <f>IF(Tabela1154[[#This Row],[Percentual CONCLUINTES - Escola de Inovadores 2024 2°Semestre]]&gt;0,Tabela1154[[#This Row],[Percentual CONCLUINTES - Escola de Inovadores 2024 2°Semestre]]*0.4,0)</f>
        <v>0.4</v>
      </c>
      <c r="S88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0.85947955390334574</v>
      </c>
      <c r="T88" s="481">
        <f t="shared" si="1"/>
        <v>1</v>
      </c>
    </row>
    <row r="89" spans="1:20">
      <c r="A89" s="472">
        <v>94</v>
      </c>
      <c r="B89" s="492" t="s">
        <v>84</v>
      </c>
      <c r="C89" s="473">
        <v>1120</v>
      </c>
      <c r="D89" s="474">
        <f>Tabela1154[[#This Row],[MATRICULADOS 1° Semestre 2024]]*0.075</f>
        <v>84</v>
      </c>
      <c r="E89" s="475">
        <v>3</v>
      </c>
      <c r="F89" s="476">
        <f>IF(Tabela1154[[#This Row],[INSCRITOS - Escola de Inovadores - 1° Semestre 2024]]&lt;Tabela1154[[#This Row],[Linha de Base (7,5%) 1°Semestre]],0,1)</f>
        <v>0</v>
      </c>
      <c r="G89" s="477">
        <f>IF(Tabela1154[[#This Row],[Percentual INSCRITOS - Escola de Inovadores - 2024]]&gt;0,Tabela1154[[#This Row],[Percentual INSCRITOS - Escola de Inovadores - 2024]]*0.6,0)</f>
        <v>0</v>
      </c>
      <c r="H89" s="475">
        <v>1</v>
      </c>
      <c r="I89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89" s="476">
        <f>IF(Tabela1154[[#This Row],[X = Percentual de inscritos na escola de inovadores para o cumprimento de meta ( Peso 0,60)]]=0, 0, Tabela1154[[#This Row],[Percentual CONCLUINTES - Escola de Inovadores 2024]]*0.4)</f>
        <v>0</v>
      </c>
      <c r="K89" s="473">
        <v>1065</v>
      </c>
      <c r="L89" s="478">
        <f>Tabela1154[[#This Row],[Matriculados 2°Semestre em Curso]]*0.075</f>
        <v>79.875</v>
      </c>
      <c r="M89" s="479">
        <v>52</v>
      </c>
      <c r="N89" s="480">
        <f>IF(Tabela1154[[#This Row],[INSCRITOS - Escola de Inovadores - 2°Semestre 2024]]&lt;Tabela1154[[#This Row],[Linha de Base (7,5%) 2°Semestre]], 0,1)</f>
        <v>0</v>
      </c>
      <c r="O89" s="480">
        <f>IF(Tabela1154[[#This Row],[Taxa de Inscritos 2° Semestre 2024]]&gt;0,Tabela1154[[#This Row],[Taxa de Inscritos 2° Semestre 2024]]*0.6,0)</f>
        <v>0</v>
      </c>
      <c r="P89" s="479">
        <v>3</v>
      </c>
      <c r="Q89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89" s="480">
        <f>IF(Tabela1154[[#This Row],[Percentual CONCLUINTES - Escola de Inovadores 2024 2°Semestre]]&gt;0,Tabela1154[[#This Row],[Percentual CONCLUINTES - Escola de Inovadores 2024 2°Semestre]]*0.4,0)</f>
        <v>0</v>
      </c>
      <c r="S89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89" s="481">
        <f t="shared" si="1"/>
        <v>0</v>
      </c>
    </row>
    <row r="90" spans="1:20">
      <c r="A90" s="472">
        <v>95</v>
      </c>
      <c r="B90" s="492" t="s">
        <v>111</v>
      </c>
      <c r="C90" s="473">
        <v>1085</v>
      </c>
      <c r="D90" s="474">
        <f>Tabela1154[[#This Row],[MATRICULADOS 1° Semestre 2024]]*0.075</f>
        <v>81.375</v>
      </c>
      <c r="E90" s="475">
        <v>124</v>
      </c>
      <c r="F90" s="476">
        <f>IF(Tabela1154[[#This Row],[INSCRITOS - Escola de Inovadores - 1° Semestre 2024]]&lt;Tabela1154[[#This Row],[Linha de Base (7,5%) 1°Semestre]],0,1)</f>
        <v>1</v>
      </c>
      <c r="G90" s="477">
        <f>IF(Tabela1154[[#This Row],[Percentual INSCRITOS - Escola de Inovadores - 2024]]&gt;0,Tabela1154[[#This Row],[Percentual INSCRITOS - Escola de Inovadores - 2024]]*0.6,0)</f>
        <v>0.6</v>
      </c>
      <c r="H90" s="475">
        <v>48</v>
      </c>
      <c r="I90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0.58986175115207373</v>
      </c>
      <c r="J90" s="476">
        <f>IF(Tabela1154[[#This Row],[X = Percentual de inscritos na escola de inovadores para o cumprimento de meta ( Peso 0,60)]]=0, 0, Tabela1154[[#This Row],[Percentual CONCLUINTES - Escola de Inovadores 2024]]*0.4)</f>
        <v>0.23594470046082949</v>
      </c>
      <c r="K90" s="473">
        <v>1059</v>
      </c>
      <c r="L90" s="478">
        <f>Tabela1154[[#This Row],[Matriculados 2°Semestre em Curso]]*0.075</f>
        <v>79.424999999999997</v>
      </c>
      <c r="M90" s="479">
        <v>25</v>
      </c>
      <c r="N90" s="480">
        <f>IF(Tabela1154[[#This Row],[INSCRITOS - Escola de Inovadores - 2°Semestre 2024]]&lt;Tabela1154[[#This Row],[Linha de Base (7,5%) 2°Semestre]], 0,1)</f>
        <v>0</v>
      </c>
      <c r="O90" s="480">
        <f>IF(Tabela1154[[#This Row],[Taxa de Inscritos 2° Semestre 2024]]&gt;0,Tabela1154[[#This Row],[Taxa de Inscritos 2° Semestre 2024]]*0.6,0)</f>
        <v>0</v>
      </c>
      <c r="P90" s="479">
        <v>19</v>
      </c>
      <c r="Q90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90" s="480">
        <f>IF(Tabela1154[[#This Row],[Percentual CONCLUINTES - Escola de Inovadores 2024 2°Semestre]]&gt;0,Tabela1154[[#This Row],[Percentual CONCLUINTES - Escola de Inovadores 2024 2°Semestre]]*0.4,0)</f>
        <v>0</v>
      </c>
      <c r="S90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0.41797235023041474</v>
      </c>
      <c r="T90" s="481">
        <f t="shared" si="1"/>
        <v>0.5</v>
      </c>
    </row>
    <row r="91" spans="1:20">
      <c r="A91" s="472">
        <v>96</v>
      </c>
      <c r="B91" s="492" t="s">
        <v>193</v>
      </c>
      <c r="C91" s="473">
        <v>1384</v>
      </c>
      <c r="D91" s="474">
        <f>Tabela1154[[#This Row],[MATRICULADOS 1° Semestre 2024]]*0.075</f>
        <v>103.8</v>
      </c>
      <c r="E91" s="475">
        <v>485</v>
      </c>
      <c r="F91" s="476">
        <f>IF(Tabela1154[[#This Row],[INSCRITOS - Escola de Inovadores - 1° Semestre 2024]]&lt;Tabela1154[[#This Row],[Linha de Base (7,5%) 1°Semestre]],0,1)</f>
        <v>1</v>
      </c>
      <c r="G91" s="477">
        <f>IF(Tabela1154[[#This Row],[Percentual INSCRITOS - Escola de Inovadores - 2024]]&gt;0,Tabela1154[[#This Row],[Percentual INSCRITOS - Escola de Inovadores - 2024]]*0.6,0)</f>
        <v>0.6</v>
      </c>
      <c r="H91" s="475">
        <v>248</v>
      </c>
      <c r="I91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91" s="476">
        <f>IF(Tabela1154[[#This Row],[X = Percentual de inscritos na escola de inovadores para o cumprimento de meta ( Peso 0,60)]]=0, 0, Tabela1154[[#This Row],[Percentual CONCLUINTES - Escola de Inovadores 2024]]*0.4)</f>
        <v>0.4</v>
      </c>
      <c r="K91" s="473">
        <v>1265</v>
      </c>
      <c r="L91" s="478">
        <f>Tabela1154[[#This Row],[Matriculados 2°Semestre em Curso]]*0.075</f>
        <v>94.875</v>
      </c>
      <c r="M91" s="479">
        <v>56</v>
      </c>
      <c r="N91" s="480">
        <f>IF(Tabela1154[[#This Row],[INSCRITOS - Escola de Inovadores - 2°Semestre 2024]]&lt;Tabela1154[[#This Row],[Linha de Base (7,5%) 2°Semestre]], 0,1)</f>
        <v>0</v>
      </c>
      <c r="O91" s="480">
        <f>IF(Tabela1154[[#This Row],[Taxa de Inscritos 2° Semestre 2024]]&gt;0,Tabela1154[[#This Row],[Taxa de Inscritos 2° Semestre 2024]]*0.6,0)</f>
        <v>0</v>
      </c>
      <c r="P91" s="479">
        <v>22</v>
      </c>
      <c r="Q91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91" s="480">
        <f>IF(Tabela1154[[#This Row],[Percentual CONCLUINTES - Escola de Inovadores 2024 2°Semestre]]&gt;0,Tabela1154[[#This Row],[Percentual CONCLUINTES - Escola de Inovadores 2024 2°Semestre]]*0.4,0)</f>
        <v>0</v>
      </c>
      <c r="S91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91" s="481">
        <f t="shared" si="1"/>
        <v>0.6</v>
      </c>
    </row>
    <row r="92" spans="1:20">
      <c r="A92" s="472">
        <v>97</v>
      </c>
      <c r="B92" s="492" t="s">
        <v>140</v>
      </c>
      <c r="C92" s="473">
        <v>397</v>
      </c>
      <c r="D92" s="474">
        <f>Tabela1154[[#This Row],[MATRICULADOS 1° Semestre 2024]]*0.075</f>
        <v>29.774999999999999</v>
      </c>
      <c r="E92" s="475">
        <v>67</v>
      </c>
      <c r="F92" s="476">
        <f>IF(Tabela1154[[#This Row],[INSCRITOS - Escola de Inovadores - 1° Semestre 2024]]&lt;Tabela1154[[#This Row],[Linha de Base (7,5%) 1°Semestre]],0,1)</f>
        <v>1</v>
      </c>
      <c r="G92" s="477">
        <f>IF(Tabela1154[[#This Row],[Percentual INSCRITOS - Escola de Inovadores - 2024]]&gt;0,Tabela1154[[#This Row],[Percentual INSCRITOS - Escola de Inovadores - 2024]]*0.6,0)</f>
        <v>0.6</v>
      </c>
      <c r="H92" s="475">
        <v>50</v>
      </c>
      <c r="I92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92" s="476">
        <f>IF(Tabela1154[[#This Row],[X = Percentual de inscritos na escola de inovadores para o cumprimento de meta ( Peso 0,60)]]=0, 0, Tabela1154[[#This Row],[Percentual CONCLUINTES - Escola de Inovadores 2024]]*0.4)</f>
        <v>0.4</v>
      </c>
      <c r="K92" s="473">
        <v>381</v>
      </c>
      <c r="L92" s="478">
        <f>Tabela1154[[#This Row],[Matriculados 2°Semestre em Curso]]*0.075</f>
        <v>28.574999999999999</v>
      </c>
      <c r="M92" s="479">
        <v>0</v>
      </c>
      <c r="N92" s="480">
        <f>IF(Tabela1154[[#This Row],[INSCRITOS - Escola de Inovadores - 2°Semestre 2024]]&lt;Tabela1154[[#This Row],[Linha de Base (7,5%) 2°Semestre]], 0,1)</f>
        <v>0</v>
      </c>
      <c r="O92" s="480">
        <f>IF(Tabela1154[[#This Row],[Taxa de Inscritos 2° Semestre 2024]]&gt;0,Tabela1154[[#This Row],[Taxa de Inscritos 2° Semestre 2024]]*0.6,0)</f>
        <v>0</v>
      </c>
      <c r="P92" s="479">
        <v>0</v>
      </c>
      <c r="Q92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92" s="480">
        <f>IF(Tabela1154[[#This Row],[Percentual CONCLUINTES - Escola de Inovadores 2024 2°Semestre]]&gt;0,Tabela1154[[#This Row],[Percentual CONCLUINTES - Escola de Inovadores 2024 2°Semestre]]*0.4,0)</f>
        <v>0</v>
      </c>
      <c r="S92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92" s="481">
        <f t="shared" si="1"/>
        <v>0.6</v>
      </c>
    </row>
    <row r="93" spans="1:20">
      <c r="A93" s="472">
        <v>98</v>
      </c>
      <c r="B93" s="492" t="s">
        <v>110</v>
      </c>
      <c r="C93" s="473">
        <v>1859</v>
      </c>
      <c r="D93" s="474">
        <f>Tabela1154[[#This Row],[MATRICULADOS 1° Semestre 2024]]*0.075</f>
        <v>139.42499999999998</v>
      </c>
      <c r="E93" s="475">
        <v>129</v>
      </c>
      <c r="F93" s="476">
        <f>IF(Tabela1154[[#This Row],[INSCRITOS - Escola de Inovadores - 1° Semestre 2024]]&lt;Tabela1154[[#This Row],[Linha de Base (7,5%) 1°Semestre]],0,1)</f>
        <v>0</v>
      </c>
      <c r="G93" s="477">
        <f>IF(Tabela1154[[#This Row],[Percentual INSCRITOS - Escola de Inovadores - 2024]]&gt;0,Tabela1154[[#This Row],[Percentual INSCRITOS - Escola de Inovadores - 2024]]*0.6,0)</f>
        <v>0</v>
      </c>
      <c r="H93" s="475">
        <v>77</v>
      </c>
      <c r="I93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93" s="476">
        <f>IF(Tabela1154[[#This Row],[X = Percentual de inscritos na escola de inovadores para o cumprimento de meta ( Peso 0,60)]]=0, 0, Tabela1154[[#This Row],[Percentual CONCLUINTES - Escola de Inovadores 2024]]*0.4)</f>
        <v>0</v>
      </c>
      <c r="K93" s="473">
        <v>1778</v>
      </c>
      <c r="L93" s="478">
        <f>Tabela1154[[#This Row],[Matriculados 2°Semestre em Curso]]*0.075</f>
        <v>133.35</v>
      </c>
      <c r="M93" s="479">
        <v>142</v>
      </c>
      <c r="N93" s="480">
        <f>IF(Tabela1154[[#This Row],[INSCRITOS - Escola de Inovadores - 2°Semestre 2024]]&lt;Tabela1154[[#This Row],[Linha de Base (7,5%) 2°Semestre]], 0,1)</f>
        <v>1</v>
      </c>
      <c r="O93" s="480">
        <f>IF(Tabela1154[[#This Row],[Taxa de Inscritos 2° Semestre 2024]]&gt;0,Tabela1154[[#This Row],[Taxa de Inscritos 2° Semestre 2024]]*0.6,0)</f>
        <v>0.6</v>
      </c>
      <c r="P93" s="479">
        <v>105</v>
      </c>
      <c r="Q93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0.78740157480314965</v>
      </c>
      <c r="R93" s="480">
        <f>IF(Tabela1154[[#This Row],[Percentual CONCLUINTES - Escola de Inovadores 2024 2°Semestre]]&gt;0,Tabela1154[[#This Row],[Percentual CONCLUINTES - Escola de Inovadores 2024 2°Semestre]]*0.4,0)</f>
        <v>0.31496062992125989</v>
      </c>
      <c r="S93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0.45748031496062991</v>
      </c>
      <c r="T93" s="481">
        <f t="shared" si="1"/>
        <v>0.5</v>
      </c>
    </row>
    <row r="94" spans="1:20">
      <c r="A94" s="472">
        <v>99</v>
      </c>
      <c r="B94" s="492" t="s">
        <v>204</v>
      </c>
      <c r="C94" s="473">
        <v>613</v>
      </c>
      <c r="D94" s="474">
        <f>Tabela1154[[#This Row],[MATRICULADOS 1° Semestre 2024]]*0.075</f>
        <v>45.975000000000001</v>
      </c>
      <c r="E94" s="475">
        <v>123</v>
      </c>
      <c r="F94" s="476">
        <f>IF(Tabela1154[[#This Row],[INSCRITOS - Escola de Inovadores - 1° Semestre 2024]]&lt;Tabela1154[[#This Row],[Linha de Base (7,5%) 1°Semestre]],0,1)</f>
        <v>1</v>
      </c>
      <c r="G94" s="477">
        <f>IF(Tabela1154[[#This Row],[Percentual INSCRITOS - Escola de Inovadores - 2024]]&gt;0,Tabela1154[[#This Row],[Percentual INSCRITOS - Escola de Inovadores - 2024]]*0.6,0)</f>
        <v>0.6</v>
      </c>
      <c r="H94" s="475">
        <v>78</v>
      </c>
      <c r="I94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94" s="476">
        <f>IF(Tabela1154[[#This Row],[X = Percentual de inscritos na escola de inovadores para o cumprimento de meta ( Peso 0,60)]]=0, 0, Tabela1154[[#This Row],[Percentual CONCLUINTES - Escola de Inovadores 2024]]*0.4)</f>
        <v>0.4</v>
      </c>
      <c r="K94" s="473">
        <v>581</v>
      </c>
      <c r="L94" s="478">
        <f>Tabela1154[[#This Row],[Matriculados 2°Semestre em Curso]]*0.075</f>
        <v>43.574999999999996</v>
      </c>
      <c r="M94" s="479">
        <v>1</v>
      </c>
      <c r="N94" s="480">
        <f>IF(Tabela1154[[#This Row],[INSCRITOS - Escola de Inovadores - 2°Semestre 2024]]&lt;Tabela1154[[#This Row],[Linha de Base (7,5%) 2°Semestre]], 0,1)</f>
        <v>0</v>
      </c>
      <c r="O94" s="480">
        <f>IF(Tabela1154[[#This Row],[Taxa de Inscritos 2° Semestre 2024]]&gt;0,Tabela1154[[#This Row],[Taxa de Inscritos 2° Semestre 2024]]*0.6,0)</f>
        <v>0</v>
      </c>
      <c r="P94" s="479">
        <v>0</v>
      </c>
      <c r="Q94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94" s="480">
        <f>IF(Tabela1154[[#This Row],[Percentual CONCLUINTES - Escola de Inovadores 2024 2°Semestre]]&gt;0,Tabela1154[[#This Row],[Percentual CONCLUINTES - Escola de Inovadores 2024 2°Semestre]]*0.4,0)</f>
        <v>0</v>
      </c>
      <c r="S94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94" s="481">
        <f t="shared" si="1"/>
        <v>0.6</v>
      </c>
    </row>
    <row r="95" spans="1:20">
      <c r="A95" s="472">
        <v>100</v>
      </c>
      <c r="B95" s="492" t="s">
        <v>183</v>
      </c>
      <c r="C95" s="473">
        <v>1009</v>
      </c>
      <c r="D95" s="474">
        <f>Tabela1154[[#This Row],[MATRICULADOS 1° Semestre 2024]]*0.075</f>
        <v>75.674999999999997</v>
      </c>
      <c r="E95" s="475">
        <v>84</v>
      </c>
      <c r="F95" s="476">
        <f>IF(Tabela1154[[#This Row],[INSCRITOS - Escola de Inovadores - 1° Semestre 2024]]&lt;Tabela1154[[#This Row],[Linha de Base (7,5%) 1°Semestre]],0,1)</f>
        <v>1</v>
      </c>
      <c r="G95" s="477">
        <f>IF(Tabela1154[[#This Row],[Percentual INSCRITOS - Escola de Inovadores - 2024]]&gt;0,Tabela1154[[#This Row],[Percentual INSCRITOS - Escola de Inovadores - 2024]]*0.6,0)</f>
        <v>0.6</v>
      </c>
      <c r="H95" s="475">
        <v>73</v>
      </c>
      <c r="I95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0.9646514701024117</v>
      </c>
      <c r="J95" s="476">
        <f>IF(Tabela1154[[#This Row],[X = Percentual de inscritos na escola de inovadores para o cumprimento de meta ( Peso 0,60)]]=0, 0, Tabela1154[[#This Row],[Percentual CONCLUINTES - Escola de Inovadores 2024]]*0.4)</f>
        <v>0.38586058804096468</v>
      </c>
      <c r="K95" s="473">
        <v>1003</v>
      </c>
      <c r="L95" s="478">
        <f>Tabela1154[[#This Row],[Matriculados 2°Semestre em Curso]]*0.075</f>
        <v>75.224999999999994</v>
      </c>
      <c r="M95" s="479">
        <v>1</v>
      </c>
      <c r="N95" s="480">
        <f>IF(Tabela1154[[#This Row],[INSCRITOS - Escola de Inovadores - 2°Semestre 2024]]&lt;Tabela1154[[#This Row],[Linha de Base (7,5%) 2°Semestre]], 0,1)</f>
        <v>0</v>
      </c>
      <c r="O95" s="480">
        <f>IF(Tabela1154[[#This Row],[Taxa de Inscritos 2° Semestre 2024]]&gt;0,Tabela1154[[#This Row],[Taxa de Inscritos 2° Semestre 2024]]*0.6,0)</f>
        <v>0</v>
      </c>
      <c r="P95" s="479">
        <v>0</v>
      </c>
      <c r="Q95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95" s="480">
        <f>IF(Tabela1154[[#This Row],[Percentual CONCLUINTES - Escola de Inovadores 2024 2°Semestre]]&gt;0,Tabela1154[[#This Row],[Percentual CONCLUINTES - Escola de Inovadores 2024 2°Semestre]]*0.4,0)</f>
        <v>0</v>
      </c>
      <c r="S95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0.49293029402048233</v>
      </c>
      <c r="T95" s="481">
        <f t="shared" si="1"/>
        <v>0.5</v>
      </c>
    </row>
    <row r="96" spans="1:20">
      <c r="A96" s="472">
        <v>101</v>
      </c>
      <c r="B96" s="492" t="s">
        <v>137</v>
      </c>
      <c r="C96" s="473">
        <v>1379</v>
      </c>
      <c r="D96" s="474">
        <f>Tabela1154[[#This Row],[MATRICULADOS 1° Semestre 2024]]*0.075</f>
        <v>103.425</v>
      </c>
      <c r="E96" s="475">
        <v>75</v>
      </c>
      <c r="F96" s="476">
        <f>IF(Tabela1154[[#This Row],[INSCRITOS - Escola de Inovadores - 1° Semestre 2024]]&lt;Tabela1154[[#This Row],[Linha de Base (7,5%) 1°Semestre]],0,1)</f>
        <v>0</v>
      </c>
      <c r="G96" s="477">
        <f>IF(Tabela1154[[#This Row],[Percentual INSCRITOS - Escola de Inovadores - 2024]]&gt;0,Tabela1154[[#This Row],[Percentual INSCRITOS - Escola de Inovadores - 2024]]*0.6,0)</f>
        <v>0</v>
      </c>
      <c r="H96" s="475">
        <v>55</v>
      </c>
      <c r="I96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96" s="476">
        <f>IF(Tabela1154[[#This Row],[X = Percentual de inscritos na escola de inovadores para o cumprimento de meta ( Peso 0,60)]]=0, 0, Tabela1154[[#This Row],[Percentual CONCLUINTES - Escola de Inovadores 2024]]*0.4)</f>
        <v>0</v>
      </c>
      <c r="K96" s="473">
        <v>1267</v>
      </c>
      <c r="L96" s="478">
        <f>Tabela1154[[#This Row],[Matriculados 2°Semestre em Curso]]*0.075</f>
        <v>95.024999999999991</v>
      </c>
      <c r="M96" s="479">
        <v>26</v>
      </c>
      <c r="N96" s="480">
        <f>IF(Tabela1154[[#This Row],[INSCRITOS - Escola de Inovadores - 2°Semestre 2024]]&lt;Tabela1154[[#This Row],[Linha de Base (7,5%) 2°Semestre]], 0,1)</f>
        <v>0</v>
      </c>
      <c r="O96" s="480">
        <f>IF(Tabela1154[[#This Row],[Taxa de Inscritos 2° Semestre 2024]]&gt;0,Tabela1154[[#This Row],[Taxa de Inscritos 2° Semestre 2024]]*0.6,0)</f>
        <v>0</v>
      </c>
      <c r="P96" s="479">
        <v>21</v>
      </c>
      <c r="Q96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96" s="480">
        <f>IF(Tabela1154[[#This Row],[Percentual CONCLUINTES - Escola de Inovadores 2024 2°Semestre]]&gt;0,Tabela1154[[#This Row],[Percentual CONCLUINTES - Escola de Inovadores 2024 2°Semestre]]*0.4,0)</f>
        <v>0</v>
      </c>
      <c r="S96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96" s="481">
        <f t="shared" si="1"/>
        <v>0</v>
      </c>
    </row>
    <row r="97" spans="1:20">
      <c r="A97" s="472">
        <v>102</v>
      </c>
      <c r="B97" s="492" t="s">
        <v>219</v>
      </c>
      <c r="C97" s="473">
        <v>604</v>
      </c>
      <c r="D97" s="474">
        <f>Tabela1154[[#This Row],[MATRICULADOS 1° Semestre 2024]]*0.075</f>
        <v>45.3</v>
      </c>
      <c r="E97" s="475">
        <v>17</v>
      </c>
      <c r="F97" s="476">
        <f>IF(Tabela1154[[#This Row],[INSCRITOS - Escola de Inovadores - 1° Semestre 2024]]&lt;Tabela1154[[#This Row],[Linha de Base (7,5%) 1°Semestre]],0,1)</f>
        <v>0</v>
      </c>
      <c r="G97" s="477">
        <f>IF(Tabela1154[[#This Row],[Percentual INSCRITOS - Escola de Inovadores - 2024]]&gt;0,Tabela1154[[#This Row],[Percentual INSCRITOS - Escola de Inovadores - 2024]]*0.6,0)</f>
        <v>0</v>
      </c>
      <c r="H97" s="475">
        <v>0</v>
      </c>
      <c r="I97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97" s="476">
        <f>IF(Tabela1154[[#This Row],[X = Percentual de inscritos na escola de inovadores para o cumprimento de meta ( Peso 0,60)]]=0, 0, Tabela1154[[#This Row],[Percentual CONCLUINTES - Escola de Inovadores 2024]]*0.4)</f>
        <v>0</v>
      </c>
      <c r="K97" s="473">
        <v>545</v>
      </c>
      <c r="L97" s="478">
        <f>Tabela1154[[#This Row],[Matriculados 2°Semestre em Curso]]*0.075</f>
        <v>40.875</v>
      </c>
      <c r="M97" s="479">
        <v>14</v>
      </c>
      <c r="N97" s="480">
        <f>IF(Tabela1154[[#This Row],[INSCRITOS - Escola de Inovadores - 2°Semestre 2024]]&lt;Tabela1154[[#This Row],[Linha de Base (7,5%) 2°Semestre]], 0,1)</f>
        <v>0</v>
      </c>
      <c r="O97" s="480">
        <f>IF(Tabela1154[[#This Row],[Taxa de Inscritos 2° Semestre 2024]]&gt;0,Tabela1154[[#This Row],[Taxa de Inscritos 2° Semestre 2024]]*0.6,0)</f>
        <v>0</v>
      </c>
      <c r="P97" s="479">
        <v>9</v>
      </c>
      <c r="Q97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97" s="480">
        <f>IF(Tabela1154[[#This Row],[Percentual CONCLUINTES - Escola de Inovadores 2024 2°Semestre]]&gt;0,Tabela1154[[#This Row],[Percentual CONCLUINTES - Escola de Inovadores 2024 2°Semestre]]*0.4,0)</f>
        <v>0</v>
      </c>
      <c r="S97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97" s="481">
        <f t="shared" si="1"/>
        <v>0</v>
      </c>
    </row>
    <row r="98" spans="1:20">
      <c r="A98" s="472">
        <v>103</v>
      </c>
      <c r="B98" s="492" t="s">
        <v>195</v>
      </c>
      <c r="C98" s="473">
        <v>1240</v>
      </c>
      <c r="D98" s="474">
        <f>Tabela1154[[#This Row],[MATRICULADOS 1° Semestre 2024]]*0.075</f>
        <v>93</v>
      </c>
      <c r="E98" s="475">
        <v>116</v>
      </c>
      <c r="F98" s="476">
        <f>IF(Tabela1154[[#This Row],[INSCRITOS - Escola de Inovadores - 1° Semestre 2024]]&lt;Tabela1154[[#This Row],[Linha de Base (7,5%) 1°Semestre]],0,1)</f>
        <v>1</v>
      </c>
      <c r="G98" s="477">
        <f>IF(Tabela1154[[#This Row],[Percentual INSCRITOS - Escola de Inovadores - 2024]]&gt;0,Tabela1154[[#This Row],[Percentual INSCRITOS - Escola de Inovadores - 2024]]*0.6,0)</f>
        <v>0.6</v>
      </c>
      <c r="H98" s="475">
        <v>89</v>
      </c>
      <c r="I98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0.956989247311828</v>
      </c>
      <c r="J98" s="476">
        <f>IF(Tabela1154[[#This Row],[X = Percentual de inscritos na escola de inovadores para o cumprimento de meta ( Peso 0,60)]]=0, 0, Tabela1154[[#This Row],[Percentual CONCLUINTES - Escola de Inovadores 2024]]*0.4)</f>
        <v>0.3827956989247312</v>
      </c>
      <c r="K98" s="473">
        <v>1173</v>
      </c>
      <c r="L98" s="478">
        <f>Tabela1154[[#This Row],[Matriculados 2°Semestre em Curso]]*0.075</f>
        <v>87.974999999999994</v>
      </c>
      <c r="M98" s="479">
        <v>27</v>
      </c>
      <c r="N98" s="480">
        <f>IF(Tabela1154[[#This Row],[INSCRITOS - Escola de Inovadores - 2°Semestre 2024]]&lt;Tabela1154[[#This Row],[Linha de Base (7,5%) 2°Semestre]], 0,1)</f>
        <v>0</v>
      </c>
      <c r="O98" s="480">
        <f>IF(Tabela1154[[#This Row],[Taxa de Inscritos 2° Semestre 2024]]&gt;0,Tabela1154[[#This Row],[Taxa de Inscritos 2° Semestre 2024]]*0.6,0)</f>
        <v>0</v>
      </c>
      <c r="P98" s="479">
        <v>1</v>
      </c>
      <c r="Q98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98" s="480">
        <f>IF(Tabela1154[[#This Row],[Percentual CONCLUINTES - Escola de Inovadores 2024 2°Semestre]]&gt;0,Tabela1154[[#This Row],[Percentual CONCLUINTES - Escola de Inovadores 2024 2°Semestre]]*0.4,0)</f>
        <v>0</v>
      </c>
      <c r="S98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0.49139784946236559</v>
      </c>
      <c r="T98" s="481">
        <f t="shared" si="1"/>
        <v>0.5</v>
      </c>
    </row>
    <row r="99" spans="1:20">
      <c r="A99" s="472">
        <v>104</v>
      </c>
      <c r="B99" s="492" t="s">
        <v>136</v>
      </c>
      <c r="C99" s="473">
        <v>857</v>
      </c>
      <c r="D99" s="474">
        <f>Tabela1154[[#This Row],[MATRICULADOS 1° Semestre 2024]]*0.075</f>
        <v>64.274999999999991</v>
      </c>
      <c r="E99" s="475">
        <v>109</v>
      </c>
      <c r="F99" s="476">
        <f>IF(Tabela1154[[#This Row],[INSCRITOS - Escola de Inovadores - 1° Semestre 2024]]&lt;Tabela1154[[#This Row],[Linha de Base (7,5%) 1°Semestre]],0,1)</f>
        <v>1</v>
      </c>
      <c r="G99" s="477">
        <f>IF(Tabela1154[[#This Row],[Percentual INSCRITOS - Escola de Inovadores - 2024]]&gt;0,Tabela1154[[#This Row],[Percentual INSCRITOS - Escola de Inovadores - 2024]]*0.6,0)</f>
        <v>0.6</v>
      </c>
      <c r="H99" s="475">
        <v>71</v>
      </c>
      <c r="I99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99" s="476">
        <f>IF(Tabela1154[[#This Row],[X = Percentual de inscritos na escola de inovadores para o cumprimento de meta ( Peso 0,60)]]=0, 0, Tabela1154[[#This Row],[Percentual CONCLUINTES - Escola de Inovadores 2024]]*0.4)</f>
        <v>0.4</v>
      </c>
      <c r="K99" s="473">
        <v>743</v>
      </c>
      <c r="L99" s="478">
        <f>Tabela1154[[#This Row],[Matriculados 2°Semestre em Curso]]*0.075</f>
        <v>55.725000000000001</v>
      </c>
      <c r="M99" s="479">
        <v>169</v>
      </c>
      <c r="N99" s="480">
        <f>IF(Tabela1154[[#This Row],[INSCRITOS - Escola de Inovadores - 2°Semestre 2024]]&lt;Tabela1154[[#This Row],[Linha de Base (7,5%) 2°Semestre]], 0,1)</f>
        <v>1</v>
      </c>
      <c r="O99" s="480">
        <f>IF(Tabela1154[[#This Row],[Taxa de Inscritos 2° Semestre 2024]]&gt;0,Tabela1154[[#This Row],[Taxa de Inscritos 2° Semestre 2024]]*0.6,0)</f>
        <v>0.6</v>
      </c>
      <c r="P99" s="479">
        <v>52</v>
      </c>
      <c r="Q99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0.93315388066397487</v>
      </c>
      <c r="R99" s="480">
        <f>IF(Tabela1154[[#This Row],[Percentual CONCLUINTES - Escola de Inovadores 2024 2°Semestre]]&gt;0,Tabela1154[[#This Row],[Percentual CONCLUINTES - Escola de Inovadores 2024 2°Semestre]]*0.4,0)</f>
        <v>0.37326155226558999</v>
      </c>
      <c r="S99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0.98663077613279504</v>
      </c>
      <c r="T99" s="481">
        <f t="shared" si="1"/>
        <v>1</v>
      </c>
    </row>
    <row r="100" spans="1:20">
      <c r="A100" s="472">
        <v>107</v>
      </c>
      <c r="B100" s="492" t="s">
        <v>156</v>
      </c>
      <c r="C100" s="473">
        <v>943</v>
      </c>
      <c r="D100" s="474">
        <f>Tabela1154[[#This Row],[MATRICULADOS 1° Semestre 2024]]*0.075</f>
        <v>70.724999999999994</v>
      </c>
      <c r="E100" s="475">
        <v>21</v>
      </c>
      <c r="F100" s="476">
        <f>IF(Tabela1154[[#This Row],[INSCRITOS - Escola de Inovadores - 1° Semestre 2024]]&lt;Tabela1154[[#This Row],[Linha de Base (7,5%) 1°Semestre]],0,1)</f>
        <v>0</v>
      </c>
      <c r="G100" s="477">
        <f>IF(Tabela1154[[#This Row],[Percentual INSCRITOS - Escola de Inovadores - 2024]]&gt;0,Tabela1154[[#This Row],[Percentual INSCRITOS - Escola de Inovadores - 2024]]*0.6,0)</f>
        <v>0</v>
      </c>
      <c r="H100" s="475">
        <v>2</v>
      </c>
      <c r="I100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00" s="476">
        <f>IF(Tabela1154[[#This Row],[X = Percentual de inscritos na escola de inovadores para o cumprimento de meta ( Peso 0,60)]]=0, 0, Tabela1154[[#This Row],[Percentual CONCLUINTES - Escola de Inovadores 2024]]*0.4)</f>
        <v>0</v>
      </c>
      <c r="K100" s="473">
        <v>940</v>
      </c>
      <c r="L100" s="478">
        <f>Tabela1154[[#This Row],[Matriculados 2°Semestre em Curso]]*0.075</f>
        <v>70.5</v>
      </c>
      <c r="M100" s="479">
        <v>6</v>
      </c>
      <c r="N100" s="480">
        <f>IF(Tabela1154[[#This Row],[INSCRITOS - Escola de Inovadores - 2°Semestre 2024]]&lt;Tabela1154[[#This Row],[Linha de Base (7,5%) 2°Semestre]], 0,1)</f>
        <v>0</v>
      </c>
      <c r="O100" s="480">
        <f>IF(Tabela1154[[#This Row],[Taxa de Inscritos 2° Semestre 2024]]&gt;0,Tabela1154[[#This Row],[Taxa de Inscritos 2° Semestre 2024]]*0.6,0)</f>
        <v>0</v>
      </c>
      <c r="P100" s="479">
        <v>1</v>
      </c>
      <c r="Q100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00" s="480">
        <f>IF(Tabela1154[[#This Row],[Percentual CONCLUINTES - Escola de Inovadores 2024 2°Semestre]]&gt;0,Tabela1154[[#This Row],[Percentual CONCLUINTES - Escola de Inovadores 2024 2°Semestre]]*0.4,0)</f>
        <v>0</v>
      </c>
      <c r="S100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00" s="481">
        <f t="shared" si="1"/>
        <v>0</v>
      </c>
    </row>
    <row r="101" spans="1:20">
      <c r="A101" s="472">
        <v>108</v>
      </c>
      <c r="B101" s="492" t="s">
        <v>71</v>
      </c>
      <c r="C101" s="473">
        <v>1181</v>
      </c>
      <c r="D101" s="474">
        <f>Tabela1154[[#This Row],[MATRICULADOS 1° Semestre 2024]]*0.075</f>
        <v>88.575000000000003</v>
      </c>
      <c r="E101" s="475">
        <v>200</v>
      </c>
      <c r="F101" s="476">
        <f>IF(Tabela1154[[#This Row],[INSCRITOS - Escola de Inovadores - 1° Semestre 2024]]&lt;Tabela1154[[#This Row],[Linha de Base (7,5%) 1°Semestre]],0,1)</f>
        <v>1</v>
      </c>
      <c r="G101" s="477">
        <f>IF(Tabela1154[[#This Row],[Percentual INSCRITOS - Escola de Inovadores - 2024]]&gt;0,Tabela1154[[#This Row],[Percentual INSCRITOS - Escola de Inovadores - 2024]]*0.6,0)</f>
        <v>0.6</v>
      </c>
      <c r="H101" s="475">
        <v>56</v>
      </c>
      <c r="I101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0.6322325712672876</v>
      </c>
      <c r="J101" s="476">
        <f>IF(Tabela1154[[#This Row],[X = Percentual de inscritos na escola de inovadores para o cumprimento de meta ( Peso 0,60)]]=0, 0, Tabela1154[[#This Row],[Percentual CONCLUINTES - Escola de Inovadores 2024]]*0.4)</f>
        <v>0.25289302850691503</v>
      </c>
      <c r="K101" s="473">
        <v>1078</v>
      </c>
      <c r="L101" s="478">
        <f>Tabela1154[[#This Row],[Matriculados 2°Semestre em Curso]]*0.075</f>
        <v>80.849999999999994</v>
      </c>
      <c r="M101" s="479">
        <v>147</v>
      </c>
      <c r="N101" s="480">
        <f>IF(Tabela1154[[#This Row],[INSCRITOS - Escola de Inovadores - 2°Semestre 2024]]&lt;Tabela1154[[#This Row],[Linha de Base (7,5%) 2°Semestre]], 0,1)</f>
        <v>1</v>
      </c>
      <c r="O101" s="480">
        <f>IF(Tabela1154[[#This Row],[Taxa de Inscritos 2° Semestre 2024]]&gt;0,Tabela1154[[#This Row],[Taxa de Inscritos 2° Semestre 2024]]*0.6,0)</f>
        <v>0.6</v>
      </c>
      <c r="P101" s="479">
        <v>30</v>
      </c>
      <c r="Q101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0.3710575139146568</v>
      </c>
      <c r="R101" s="480">
        <f>IF(Tabela1154[[#This Row],[Percentual CONCLUINTES - Escola de Inovadores 2024 2°Semestre]]&gt;0,Tabela1154[[#This Row],[Percentual CONCLUINTES - Escola de Inovadores 2024 2°Semestre]]*0.4,0)</f>
        <v>0.14842300556586271</v>
      </c>
      <c r="S101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0.80065801703638884</v>
      </c>
      <c r="T101" s="481">
        <f t="shared" si="1"/>
        <v>1</v>
      </c>
    </row>
    <row r="102" spans="1:20">
      <c r="A102" s="472">
        <v>110</v>
      </c>
      <c r="B102" s="492" t="s">
        <v>129</v>
      </c>
      <c r="C102" s="473">
        <v>875</v>
      </c>
      <c r="D102" s="474">
        <f>Tabela1154[[#This Row],[MATRICULADOS 1° Semestre 2024]]*0.075</f>
        <v>65.625</v>
      </c>
      <c r="E102" s="475">
        <v>9</v>
      </c>
      <c r="F102" s="476">
        <f>IF(Tabela1154[[#This Row],[INSCRITOS - Escola de Inovadores - 1° Semestre 2024]]&lt;Tabela1154[[#This Row],[Linha de Base (7,5%) 1°Semestre]],0,1)</f>
        <v>0</v>
      </c>
      <c r="G102" s="477">
        <f>IF(Tabela1154[[#This Row],[Percentual INSCRITOS - Escola de Inovadores - 2024]]&gt;0,Tabela1154[[#This Row],[Percentual INSCRITOS - Escola de Inovadores - 2024]]*0.6,0)</f>
        <v>0</v>
      </c>
      <c r="H102" s="475">
        <v>6</v>
      </c>
      <c r="I102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02" s="476">
        <f>IF(Tabela1154[[#This Row],[X = Percentual de inscritos na escola de inovadores para o cumprimento de meta ( Peso 0,60)]]=0, 0, Tabela1154[[#This Row],[Percentual CONCLUINTES - Escola de Inovadores 2024]]*0.4)</f>
        <v>0</v>
      </c>
      <c r="K102" s="473">
        <v>856</v>
      </c>
      <c r="L102" s="478">
        <f>Tabela1154[[#This Row],[Matriculados 2°Semestre em Curso]]*0.075</f>
        <v>64.2</v>
      </c>
      <c r="M102" s="479">
        <v>25</v>
      </c>
      <c r="N102" s="480">
        <f>IF(Tabela1154[[#This Row],[INSCRITOS - Escola de Inovadores - 2°Semestre 2024]]&lt;Tabela1154[[#This Row],[Linha de Base (7,5%) 2°Semestre]], 0,1)</f>
        <v>0</v>
      </c>
      <c r="O102" s="480">
        <f>IF(Tabela1154[[#This Row],[Taxa de Inscritos 2° Semestre 2024]]&gt;0,Tabela1154[[#This Row],[Taxa de Inscritos 2° Semestre 2024]]*0.6,0)</f>
        <v>0</v>
      </c>
      <c r="P102" s="479">
        <v>2</v>
      </c>
      <c r="Q102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02" s="480">
        <f>IF(Tabela1154[[#This Row],[Percentual CONCLUINTES - Escola de Inovadores 2024 2°Semestre]]&gt;0,Tabela1154[[#This Row],[Percentual CONCLUINTES - Escola de Inovadores 2024 2°Semestre]]*0.4,0)</f>
        <v>0</v>
      </c>
      <c r="S102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02" s="481">
        <f t="shared" si="1"/>
        <v>0</v>
      </c>
    </row>
    <row r="103" spans="1:20">
      <c r="A103" s="472">
        <v>115</v>
      </c>
      <c r="B103" s="492" t="s">
        <v>23</v>
      </c>
      <c r="C103" s="473">
        <v>924</v>
      </c>
      <c r="D103" s="474">
        <f>Tabela1154[[#This Row],[MATRICULADOS 1° Semestre 2024]]*0.075</f>
        <v>69.3</v>
      </c>
      <c r="E103" s="475">
        <v>166</v>
      </c>
      <c r="F103" s="476">
        <f>IF(Tabela1154[[#This Row],[INSCRITOS - Escola de Inovadores - 1° Semestre 2024]]&lt;Tabela1154[[#This Row],[Linha de Base (7,5%) 1°Semestre]],0,1)</f>
        <v>1</v>
      </c>
      <c r="G103" s="477">
        <f>IF(Tabela1154[[#This Row],[Percentual INSCRITOS - Escola de Inovadores - 2024]]&gt;0,Tabela1154[[#This Row],[Percentual INSCRITOS - Escola de Inovadores - 2024]]*0.6,0)</f>
        <v>0.6</v>
      </c>
      <c r="H103" s="475">
        <v>63</v>
      </c>
      <c r="I103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0.90909090909090917</v>
      </c>
      <c r="J103" s="476">
        <f>IF(Tabela1154[[#This Row],[X = Percentual de inscritos na escola de inovadores para o cumprimento de meta ( Peso 0,60)]]=0, 0, Tabela1154[[#This Row],[Percentual CONCLUINTES - Escola de Inovadores 2024]]*0.4)</f>
        <v>0.3636363636363637</v>
      </c>
      <c r="K103" s="473">
        <v>915</v>
      </c>
      <c r="L103" s="478">
        <f>Tabela1154[[#This Row],[Matriculados 2°Semestre em Curso]]*0.075</f>
        <v>68.625</v>
      </c>
      <c r="M103" s="479">
        <v>130</v>
      </c>
      <c r="N103" s="480">
        <f>IF(Tabela1154[[#This Row],[INSCRITOS - Escola de Inovadores - 2°Semestre 2024]]&lt;Tabela1154[[#This Row],[Linha de Base (7,5%) 2°Semestre]], 0,1)</f>
        <v>1</v>
      </c>
      <c r="O103" s="480">
        <f>IF(Tabela1154[[#This Row],[Taxa de Inscritos 2° Semestre 2024]]&gt;0,Tabela1154[[#This Row],[Taxa de Inscritos 2° Semestre 2024]]*0.6,0)</f>
        <v>0.6</v>
      </c>
      <c r="P103" s="479">
        <v>9</v>
      </c>
      <c r="Q103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0.13114754098360656</v>
      </c>
      <c r="R103" s="480">
        <f>IF(Tabela1154[[#This Row],[Percentual CONCLUINTES - Escola de Inovadores 2024 2°Semestre]]&gt;0,Tabela1154[[#This Row],[Percentual CONCLUINTES - Escola de Inovadores 2024 2°Semestre]]*0.4,0)</f>
        <v>5.245901639344263E-2</v>
      </c>
      <c r="S103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0.80804769001490306</v>
      </c>
      <c r="T103" s="481">
        <f t="shared" si="1"/>
        <v>1</v>
      </c>
    </row>
    <row r="104" spans="1:20">
      <c r="A104" s="472">
        <v>116</v>
      </c>
      <c r="B104" s="492" t="s">
        <v>121</v>
      </c>
      <c r="C104" s="473">
        <v>264</v>
      </c>
      <c r="D104" s="474">
        <f>Tabela1154[[#This Row],[MATRICULADOS 1° Semestre 2024]]*0.075</f>
        <v>19.8</v>
      </c>
      <c r="E104" s="475">
        <v>77</v>
      </c>
      <c r="F104" s="476">
        <f>IF(Tabela1154[[#This Row],[INSCRITOS - Escola de Inovadores - 1° Semestre 2024]]&lt;Tabela1154[[#This Row],[Linha de Base (7,5%) 1°Semestre]],0,1)</f>
        <v>1</v>
      </c>
      <c r="G104" s="477">
        <f>IF(Tabela1154[[#This Row],[Percentual INSCRITOS - Escola de Inovadores - 2024]]&gt;0,Tabela1154[[#This Row],[Percentual INSCRITOS - Escola de Inovadores - 2024]]*0.6,0)</f>
        <v>0.6</v>
      </c>
      <c r="H104" s="475">
        <v>5</v>
      </c>
      <c r="I104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0.25252525252525254</v>
      </c>
      <c r="J104" s="476">
        <f>IF(Tabela1154[[#This Row],[X = Percentual de inscritos na escola de inovadores para o cumprimento de meta ( Peso 0,60)]]=0, 0, Tabela1154[[#This Row],[Percentual CONCLUINTES - Escola de Inovadores 2024]]*0.4)</f>
        <v>0.10101010101010102</v>
      </c>
      <c r="K104" s="473">
        <v>272</v>
      </c>
      <c r="L104" s="478">
        <f>Tabela1154[[#This Row],[Matriculados 2°Semestre em Curso]]*0.075</f>
        <v>20.399999999999999</v>
      </c>
      <c r="M104" s="479">
        <v>10</v>
      </c>
      <c r="N104" s="480">
        <f>IF(Tabela1154[[#This Row],[INSCRITOS - Escola de Inovadores - 2°Semestre 2024]]&lt;Tabela1154[[#This Row],[Linha de Base (7,5%) 2°Semestre]], 0,1)</f>
        <v>0</v>
      </c>
      <c r="O104" s="480">
        <f>IF(Tabela1154[[#This Row],[Taxa de Inscritos 2° Semestre 2024]]&gt;0,Tabela1154[[#This Row],[Taxa de Inscritos 2° Semestre 2024]]*0.6,0)</f>
        <v>0</v>
      </c>
      <c r="P104" s="479">
        <v>2</v>
      </c>
      <c r="Q104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04" s="480">
        <f>IF(Tabela1154[[#This Row],[Percentual CONCLUINTES - Escola de Inovadores 2024 2°Semestre]]&gt;0,Tabela1154[[#This Row],[Percentual CONCLUINTES - Escola de Inovadores 2024 2°Semestre]]*0.4,0)</f>
        <v>0</v>
      </c>
      <c r="S104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0.35050505050505049</v>
      </c>
      <c r="T104" s="481">
        <f t="shared" si="1"/>
        <v>0</v>
      </c>
    </row>
    <row r="105" spans="1:20">
      <c r="A105" s="472">
        <v>117</v>
      </c>
      <c r="B105" s="492" t="s">
        <v>53</v>
      </c>
      <c r="C105" s="473">
        <v>1248</v>
      </c>
      <c r="D105" s="474">
        <f>Tabela1154[[#This Row],[MATRICULADOS 1° Semestre 2024]]*0.075</f>
        <v>93.6</v>
      </c>
      <c r="E105" s="475">
        <v>84</v>
      </c>
      <c r="F105" s="476">
        <f>IF(Tabela1154[[#This Row],[INSCRITOS - Escola de Inovadores - 1° Semestre 2024]]&lt;Tabela1154[[#This Row],[Linha de Base (7,5%) 1°Semestre]],0,1)</f>
        <v>0</v>
      </c>
      <c r="G105" s="477">
        <f>IF(Tabela1154[[#This Row],[Percentual INSCRITOS - Escola de Inovadores - 2024]]&gt;0,Tabela1154[[#This Row],[Percentual INSCRITOS - Escola de Inovadores - 2024]]*0.6,0)</f>
        <v>0</v>
      </c>
      <c r="H105" s="475">
        <v>82</v>
      </c>
      <c r="I105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05" s="476">
        <f>IF(Tabela1154[[#This Row],[X = Percentual de inscritos na escola de inovadores para o cumprimento de meta ( Peso 0,60)]]=0, 0, Tabela1154[[#This Row],[Percentual CONCLUINTES - Escola de Inovadores 2024]]*0.4)</f>
        <v>0</v>
      </c>
      <c r="K105" s="473">
        <v>1155</v>
      </c>
      <c r="L105" s="478">
        <f>Tabela1154[[#This Row],[Matriculados 2°Semestre em Curso]]*0.075</f>
        <v>86.625</v>
      </c>
      <c r="M105" s="479">
        <v>52</v>
      </c>
      <c r="N105" s="480">
        <f>IF(Tabela1154[[#This Row],[INSCRITOS - Escola de Inovadores - 2°Semestre 2024]]&lt;Tabela1154[[#This Row],[Linha de Base (7,5%) 2°Semestre]], 0,1)</f>
        <v>0</v>
      </c>
      <c r="O105" s="480">
        <f>IF(Tabela1154[[#This Row],[Taxa de Inscritos 2° Semestre 2024]]&gt;0,Tabela1154[[#This Row],[Taxa de Inscritos 2° Semestre 2024]]*0.6,0)</f>
        <v>0</v>
      </c>
      <c r="P105" s="479">
        <v>52</v>
      </c>
      <c r="Q105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05" s="480">
        <f>IF(Tabela1154[[#This Row],[Percentual CONCLUINTES - Escola de Inovadores 2024 2°Semestre]]&gt;0,Tabela1154[[#This Row],[Percentual CONCLUINTES - Escola de Inovadores 2024 2°Semestre]]*0.4,0)</f>
        <v>0</v>
      </c>
      <c r="S105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05" s="481">
        <f t="shared" si="1"/>
        <v>0</v>
      </c>
    </row>
    <row r="106" spans="1:20">
      <c r="A106" s="472">
        <v>118</v>
      </c>
      <c r="B106" s="492" t="s">
        <v>49</v>
      </c>
      <c r="C106" s="473">
        <v>954</v>
      </c>
      <c r="D106" s="474">
        <f>Tabela1154[[#This Row],[MATRICULADOS 1° Semestre 2024]]*0.075</f>
        <v>71.55</v>
      </c>
      <c r="E106" s="475">
        <v>14</v>
      </c>
      <c r="F106" s="476">
        <f>IF(Tabela1154[[#This Row],[INSCRITOS - Escola de Inovadores - 1° Semestre 2024]]&lt;Tabela1154[[#This Row],[Linha de Base (7,5%) 1°Semestre]],0,1)</f>
        <v>0</v>
      </c>
      <c r="G106" s="477">
        <f>IF(Tabela1154[[#This Row],[Percentual INSCRITOS - Escola de Inovadores - 2024]]&gt;0,Tabela1154[[#This Row],[Percentual INSCRITOS - Escola de Inovadores - 2024]]*0.6,0)</f>
        <v>0</v>
      </c>
      <c r="H106" s="475">
        <v>3</v>
      </c>
      <c r="I106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06" s="476">
        <f>IF(Tabela1154[[#This Row],[X = Percentual de inscritos na escola de inovadores para o cumprimento de meta ( Peso 0,60)]]=0, 0, Tabela1154[[#This Row],[Percentual CONCLUINTES - Escola de Inovadores 2024]]*0.4)</f>
        <v>0</v>
      </c>
      <c r="K106" s="473">
        <v>902</v>
      </c>
      <c r="L106" s="478">
        <f>Tabela1154[[#This Row],[Matriculados 2°Semestre em Curso]]*0.075</f>
        <v>67.649999999999991</v>
      </c>
      <c r="M106" s="479">
        <v>6</v>
      </c>
      <c r="N106" s="480">
        <f>IF(Tabela1154[[#This Row],[INSCRITOS - Escola de Inovadores - 2°Semestre 2024]]&lt;Tabela1154[[#This Row],[Linha de Base (7,5%) 2°Semestre]], 0,1)</f>
        <v>0</v>
      </c>
      <c r="O106" s="480">
        <f>IF(Tabela1154[[#This Row],[Taxa de Inscritos 2° Semestre 2024]]&gt;0,Tabela1154[[#This Row],[Taxa de Inscritos 2° Semestre 2024]]*0.6,0)</f>
        <v>0</v>
      </c>
      <c r="P106" s="479">
        <v>2</v>
      </c>
      <c r="Q106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06" s="480">
        <f>IF(Tabela1154[[#This Row],[Percentual CONCLUINTES - Escola de Inovadores 2024 2°Semestre]]&gt;0,Tabela1154[[#This Row],[Percentual CONCLUINTES - Escola de Inovadores 2024 2°Semestre]]*0.4,0)</f>
        <v>0</v>
      </c>
      <c r="S106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06" s="481">
        <f t="shared" si="1"/>
        <v>0</v>
      </c>
    </row>
    <row r="107" spans="1:20">
      <c r="A107" s="472">
        <v>122</v>
      </c>
      <c r="B107" s="492" t="s">
        <v>85</v>
      </c>
      <c r="C107" s="473">
        <v>1041</v>
      </c>
      <c r="D107" s="474">
        <f>Tabela1154[[#This Row],[MATRICULADOS 1° Semestre 2024]]*0.075</f>
        <v>78.075000000000003</v>
      </c>
      <c r="E107" s="475">
        <v>237</v>
      </c>
      <c r="F107" s="476">
        <f>IF(Tabela1154[[#This Row],[INSCRITOS - Escola de Inovadores - 1° Semestre 2024]]&lt;Tabela1154[[#This Row],[Linha de Base (7,5%) 1°Semestre]],0,1)</f>
        <v>1</v>
      </c>
      <c r="G107" s="477">
        <f>IF(Tabela1154[[#This Row],[Percentual INSCRITOS - Escola de Inovadores - 2024]]&gt;0,Tabela1154[[#This Row],[Percentual INSCRITOS - Escola de Inovadores - 2024]]*0.6,0)</f>
        <v>0.6</v>
      </c>
      <c r="H107" s="475">
        <v>53</v>
      </c>
      <c r="I107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0.6788344540505924</v>
      </c>
      <c r="J107" s="476">
        <f>IF(Tabela1154[[#This Row],[X = Percentual de inscritos na escola de inovadores para o cumprimento de meta ( Peso 0,60)]]=0, 0, Tabela1154[[#This Row],[Percentual CONCLUINTES - Escola de Inovadores 2024]]*0.4)</f>
        <v>0.27153378162023695</v>
      </c>
      <c r="K107" s="473">
        <v>1006</v>
      </c>
      <c r="L107" s="478">
        <f>Tabela1154[[#This Row],[Matriculados 2°Semestre em Curso]]*0.075</f>
        <v>75.45</v>
      </c>
      <c r="M107" s="479">
        <v>42</v>
      </c>
      <c r="N107" s="480">
        <f>IF(Tabela1154[[#This Row],[INSCRITOS - Escola de Inovadores - 2°Semestre 2024]]&lt;Tabela1154[[#This Row],[Linha de Base (7,5%) 2°Semestre]], 0,1)</f>
        <v>0</v>
      </c>
      <c r="O107" s="480">
        <f>IF(Tabela1154[[#This Row],[Taxa de Inscritos 2° Semestre 2024]]&gt;0,Tabela1154[[#This Row],[Taxa de Inscritos 2° Semestre 2024]]*0.6,0)</f>
        <v>0</v>
      </c>
      <c r="P107" s="479">
        <v>10</v>
      </c>
      <c r="Q107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07" s="480">
        <f>IF(Tabela1154[[#This Row],[Percentual CONCLUINTES - Escola de Inovadores 2024 2°Semestre]]&gt;0,Tabela1154[[#This Row],[Percentual CONCLUINTES - Escola de Inovadores 2024 2°Semestre]]*0.4,0)</f>
        <v>0</v>
      </c>
      <c r="S107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0.43576689081011843</v>
      </c>
      <c r="T107" s="481">
        <f t="shared" si="1"/>
        <v>0.5</v>
      </c>
    </row>
    <row r="108" spans="1:20">
      <c r="A108" s="472">
        <v>123</v>
      </c>
      <c r="B108" s="492" t="s">
        <v>5</v>
      </c>
      <c r="C108" s="473">
        <v>801</v>
      </c>
      <c r="D108" s="474">
        <f>Tabela1154[[#This Row],[MATRICULADOS 1° Semestre 2024]]*0.075</f>
        <v>60.074999999999996</v>
      </c>
      <c r="E108" s="475">
        <v>87</v>
      </c>
      <c r="F108" s="476">
        <f>IF(Tabela1154[[#This Row],[INSCRITOS - Escola de Inovadores - 1° Semestre 2024]]&lt;Tabela1154[[#This Row],[Linha de Base (7,5%) 1°Semestre]],0,1)</f>
        <v>1</v>
      </c>
      <c r="G108" s="477">
        <f>IF(Tabela1154[[#This Row],[Percentual INSCRITOS - Escola de Inovadores - 2024]]&gt;0,Tabela1154[[#This Row],[Percentual INSCRITOS - Escola de Inovadores - 2024]]*0.6,0)</f>
        <v>0.6</v>
      </c>
      <c r="H108" s="475">
        <v>84</v>
      </c>
      <c r="I108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108" s="476">
        <f>IF(Tabela1154[[#This Row],[X = Percentual de inscritos na escola de inovadores para o cumprimento de meta ( Peso 0,60)]]=0, 0, Tabela1154[[#This Row],[Percentual CONCLUINTES - Escola de Inovadores 2024]]*0.4)</f>
        <v>0.4</v>
      </c>
      <c r="K108" s="473">
        <v>778</v>
      </c>
      <c r="L108" s="478">
        <f>Tabela1154[[#This Row],[Matriculados 2°Semestre em Curso]]*0.075</f>
        <v>58.349999999999994</v>
      </c>
      <c r="M108" s="479">
        <v>3</v>
      </c>
      <c r="N108" s="480">
        <f>IF(Tabela1154[[#This Row],[INSCRITOS - Escola de Inovadores - 2°Semestre 2024]]&lt;Tabela1154[[#This Row],[Linha de Base (7,5%) 2°Semestre]], 0,1)</f>
        <v>0</v>
      </c>
      <c r="O108" s="480">
        <f>IF(Tabela1154[[#This Row],[Taxa de Inscritos 2° Semestre 2024]]&gt;0,Tabela1154[[#This Row],[Taxa de Inscritos 2° Semestre 2024]]*0.6,0)</f>
        <v>0</v>
      </c>
      <c r="P108" s="479">
        <v>0</v>
      </c>
      <c r="Q108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08" s="480">
        <f>IF(Tabela1154[[#This Row],[Percentual CONCLUINTES - Escola de Inovadores 2024 2°Semestre]]&gt;0,Tabela1154[[#This Row],[Percentual CONCLUINTES - Escola de Inovadores 2024 2°Semestre]]*0.4,0)</f>
        <v>0</v>
      </c>
      <c r="S108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108" s="481">
        <f>IF(S108&gt;=0.8,100%,IF(S108&gt;=0.7,80%,IF(S108&gt;=0.6,70%,IF(S108&gt;=0.5,60%,IF(S108&gt;=0.4,50%,IF(S108&lt;0.4,0%,))))))</f>
        <v>0.6</v>
      </c>
    </row>
    <row r="109" spans="1:20">
      <c r="A109" s="472">
        <v>124</v>
      </c>
      <c r="B109" s="492" t="s">
        <v>77</v>
      </c>
      <c r="C109" s="473">
        <v>454</v>
      </c>
      <c r="D109" s="474">
        <f>Tabela1154[[#This Row],[MATRICULADOS 1° Semestre 2024]]*0.075</f>
        <v>34.049999999999997</v>
      </c>
      <c r="E109" s="475">
        <v>1</v>
      </c>
      <c r="F109" s="476">
        <f>IF(Tabela1154[[#This Row],[INSCRITOS - Escola de Inovadores - 1° Semestre 2024]]&lt;Tabela1154[[#This Row],[Linha de Base (7,5%) 1°Semestre]],0,1)</f>
        <v>0</v>
      </c>
      <c r="G109" s="477">
        <f>IF(Tabela1154[[#This Row],[Percentual INSCRITOS - Escola de Inovadores - 2024]]&gt;0,Tabela1154[[#This Row],[Percentual INSCRITOS - Escola de Inovadores - 2024]]*0.6,0)</f>
        <v>0</v>
      </c>
      <c r="H109" s="475">
        <v>0</v>
      </c>
      <c r="I109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09" s="476">
        <f>IF(Tabela1154[[#This Row],[X = Percentual de inscritos na escola de inovadores para o cumprimento de meta ( Peso 0,60)]]=0, 0, Tabela1154[[#This Row],[Percentual CONCLUINTES - Escola de Inovadores 2024]]*0.4)</f>
        <v>0</v>
      </c>
      <c r="K109" s="473">
        <v>438</v>
      </c>
      <c r="L109" s="478">
        <f>Tabela1154[[#This Row],[Matriculados 2°Semestre em Curso]]*0.075</f>
        <v>32.85</v>
      </c>
      <c r="M109" s="479">
        <v>1</v>
      </c>
      <c r="N109" s="480">
        <f>IF(Tabela1154[[#This Row],[INSCRITOS - Escola de Inovadores - 2°Semestre 2024]]&lt;Tabela1154[[#This Row],[Linha de Base (7,5%) 2°Semestre]], 0,1)</f>
        <v>0</v>
      </c>
      <c r="O109" s="480">
        <f>IF(Tabela1154[[#This Row],[Taxa de Inscritos 2° Semestre 2024]]&gt;0,Tabela1154[[#This Row],[Taxa de Inscritos 2° Semestre 2024]]*0.6,0)</f>
        <v>0</v>
      </c>
      <c r="P109" s="479">
        <v>0</v>
      </c>
      <c r="Q109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09" s="480">
        <f>IF(Tabela1154[[#This Row],[Percentual CONCLUINTES - Escola de Inovadores 2024 2°Semestre]]&gt;0,Tabela1154[[#This Row],[Percentual CONCLUINTES - Escola de Inovadores 2024 2°Semestre]]*0.4,0)</f>
        <v>0</v>
      </c>
      <c r="S109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09" s="481">
        <f t="shared" si="1"/>
        <v>0</v>
      </c>
    </row>
    <row r="110" spans="1:20">
      <c r="A110" s="472">
        <v>125</v>
      </c>
      <c r="B110" s="492" t="s">
        <v>145</v>
      </c>
      <c r="C110" s="473">
        <v>676</v>
      </c>
      <c r="D110" s="474">
        <f>Tabela1154[[#This Row],[MATRICULADOS 1° Semestre 2024]]*0.075</f>
        <v>50.699999999999996</v>
      </c>
      <c r="E110" s="475">
        <v>54</v>
      </c>
      <c r="F110" s="476">
        <f>IF(Tabela1154[[#This Row],[INSCRITOS - Escola de Inovadores - 1° Semestre 2024]]&lt;Tabela1154[[#This Row],[Linha de Base (7,5%) 1°Semestre]],0,1)</f>
        <v>1</v>
      </c>
      <c r="G110" s="477">
        <f>IF(Tabela1154[[#This Row],[Percentual INSCRITOS - Escola de Inovadores - 2024]]&gt;0,Tabela1154[[#This Row],[Percentual INSCRITOS - Escola de Inovadores - 2024]]*0.6,0)</f>
        <v>0.6</v>
      </c>
      <c r="H110" s="475">
        <v>1</v>
      </c>
      <c r="I110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1.9723865877712032E-2</v>
      </c>
      <c r="J110" s="476">
        <f>IF(Tabela1154[[#This Row],[X = Percentual de inscritos na escola de inovadores para o cumprimento de meta ( Peso 0,60)]]=0, 0, Tabela1154[[#This Row],[Percentual CONCLUINTES - Escola de Inovadores 2024]]*0.4)</f>
        <v>7.889546351084813E-3</v>
      </c>
      <c r="K110" s="473">
        <v>620</v>
      </c>
      <c r="L110" s="478">
        <f>Tabela1154[[#This Row],[Matriculados 2°Semestre em Curso]]*0.075</f>
        <v>46.5</v>
      </c>
      <c r="M110" s="479">
        <v>47</v>
      </c>
      <c r="N110" s="480">
        <f>IF(Tabela1154[[#This Row],[INSCRITOS - Escola de Inovadores - 2°Semestre 2024]]&lt;Tabela1154[[#This Row],[Linha de Base (7,5%) 2°Semestre]], 0,1)</f>
        <v>1</v>
      </c>
      <c r="O110" s="480">
        <f>IF(Tabela1154[[#This Row],[Taxa de Inscritos 2° Semestre 2024]]&gt;0,Tabela1154[[#This Row],[Taxa de Inscritos 2° Semestre 2024]]*0.6,0)</f>
        <v>0.6</v>
      </c>
      <c r="P110" s="479">
        <v>33</v>
      </c>
      <c r="Q110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0.70967741935483875</v>
      </c>
      <c r="R110" s="480">
        <f>IF(Tabela1154[[#This Row],[Percentual CONCLUINTES - Escola de Inovadores 2024 2°Semestre]]&gt;0,Tabela1154[[#This Row],[Percentual CONCLUINTES - Escola de Inovadores 2024 2°Semestre]]*0.4,0)</f>
        <v>0.28387096774193549</v>
      </c>
      <c r="S110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0.74588025704651018</v>
      </c>
      <c r="T110" s="481">
        <f t="shared" si="1"/>
        <v>0.8</v>
      </c>
    </row>
    <row r="111" spans="1:20">
      <c r="A111" s="472">
        <v>128</v>
      </c>
      <c r="B111" s="492" t="s">
        <v>118</v>
      </c>
      <c r="C111" s="473">
        <v>721</v>
      </c>
      <c r="D111" s="474">
        <f>Tabela1154[[#This Row],[MATRICULADOS 1° Semestre 2024]]*0.075</f>
        <v>54.074999999999996</v>
      </c>
      <c r="E111" s="475">
        <v>83</v>
      </c>
      <c r="F111" s="476">
        <f>IF(Tabela1154[[#This Row],[INSCRITOS - Escola de Inovadores - 1° Semestre 2024]]&lt;Tabela1154[[#This Row],[Linha de Base (7,5%) 1°Semestre]],0,1)</f>
        <v>1</v>
      </c>
      <c r="G111" s="477">
        <f>IF(Tabela1154[[#This Row],[Percentual INSCRITOS - Escola de Inovadores - 2024]]&gt;0,Tabela1154[[#This Row],[Percentual INSCRITOS - Escola de Inovadores - 2024]]*0.6,0)</f>
        <v>0.6</v>
      </c>
      <c r="H111" s="475">
        <v>1</v>
      </c>
      <c r="I111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1.8492834026814609E-2</v>
      </c>
      <c r="J111" s="476">
        <f>IF(Tabela1154[[#This Row],[X = Percentual de inscritos na escola de inovadores para o cumprimento de meta ( Peso 0,60)]]=0, 0, Tabela1154[[#This Row],[Percentual CONCLUINTES - Escola de Inovadores 2024]]*0.4)</f>
        <v>7.3971336107258442E-3</v>
      </c>
      <c r="K111" s="473">
        <v>1257</v>
      </c>
      <c r="L111" s="478">
        <f>Tabela1154[[#This Row],[Matriculados 2°Semestre em Curso]]*0.075</f>
        <v>94.274999999999991</v>
      </c>
      <c r="M111" s="479">
        <v>96</v>
      </c>
      <c r="N111" s="480">
        <f>IF(Tabela1154[[#This Row],[INSCRITOS - Escola de Inovadores - 2°Semestre 2024]]&lt;Tabela1154[[#This Row],[Linha de Base (7,5%) 2°Semestre]], 0,1)</f>
        <v>1</v>
      </c>
      <c r="O111" s="480">
        <f>IF(Tabela1154[[#This Row],[Taxa de Inscritos 2° Semestre 2024]]&gt;0,Tabela1154[[#This Row],[Taxa de Inscritos 2° Semestre 2024]]*0.6,0)</f>
        <v>0.6</v>
      </c>
      <c r="P111" s="479">
        <v>1</v>
      </c>
      <c r="Q111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1.0607265977194379E-2</v>
      </c>
      <c r="R111" s="480">
        <f>IF(Tabela1154[[#This Row],[Percentual CONCLUINTES - Escola de Inovadores 2024 2°Semestre]]&gt;0,Tabela1154[[#This Row],[Percentual CONCLUINTES - Escola de Inovadores 2024 2°Semestre]]*0.4,0)</f>
        <v>4.2429063908777515E-3</v>
      </c>
      <c r="S111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0.60582002000080182</v>
      </c>
      <c r="T111" s="481">
        <f t="shared" si="1"/>
        <v>0.7</v>
      </c>
    </row>
    <row r="112" spans="1:20">
      <c r="A112" s="472">
        <v>134</v>
      </c>
      <c r="B112" s="492" t="s">
        <v>62</v>
      </c>
      <c r="C112" s="473">
        <v>1338</v>
      </c>
      <c r="D112" s="474">
        <f>Tabela1154[[#This Row],[MATRICULADOS 1° Semestre 2024]]*0.075</f>
        <v>100.35</v>
      </c>
      <c r="E112" s="475">
        <v>90</v>
      </c>
      <c r="F112" s="476">
        <f>IF(Tabela1154[[#This Row],[INSCRITOS - Escola de Inovadores - 1° Semestre 2024]]&lt;Tabela1154[[#This Row],[Linha de Base (7,5%) 1°Semestre]],0,1)</f>
        <v>0</v>
      </c>
      <c r="G112" s="477">
        <f>IF(Tabela1154[[#This Row],[Percentual INSCRITOS - Escola de Inovadores - 2024]]&gt;0,Tabela1154[[#This Row],[Percentual INSCRITOS - Escola de Inovadores - 2024]]*0.6,0)</f>
        <v>0</v>
      </c>
      <c r="H112" s="475">
        <v>1</v>
      </c>
      <c r="I112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12" s="476">
        <f>IF(Tabela1154[[#This Row],[X = Percentual de inscritos na escola de inovadores para o cumprimento de meta ( Peso 0,60)]]=0, 0, Tabela1154[[#This Row],[Percentual CONCLUINTES - Escola de Inovadores 2024]]*0.4)</f>
        <v>0</v>
      </c>
      <c r="K112" s="473">
        <v>1070</v>
      </c>
      <c r="L112" s="478">
        <f>Tabela1154[[#This Row],[Matriculados 2°Semestre em Curso]]*0.075</f>
        <v>80.25</v>
      </c>
      <c r="M112" s="479">
        <v>37</v>
      </c>
      <c r="N112" s="480">
        <f>IF(Tabela1154[[#This Row],[INSCRITOS - Escola de Inovadores - 2°Semestre 2024]]&lt;Tabela1154[[#This Row],[Linha de Base (7,5%) 2°Semestre]], 0,1)</f>
        <v>0</v>
      </c>
      <c r="O112" s="480">
        <f>IF(Tabela1154[[#This Row],[Taxa de Inscritos 2° Semestre 2024]]&gt;0,Tabela1154[[#This Row],[Taxa de Inscritos 2° Semestre 2024]]*0.6,0)</f>
        <v>0</v>
      </c>
      <c r="P112" s="479">
        <v>2</v>
      </c>
      <c r="Q112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12" s="480">
        <f>IF(Tabela1154[[#This Row],[Percentual CONCLUINTES - Escola de Inovadores 2024 2°Semestre]]&gt;0,Tabela1154[[#This Row],[Percentual CONCLUINTES - Escola de Inovadores 2024 2°Semestre]]*0.4,0)</f>
        <v>0</v>
      </c>
      <c r="S112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12" s="481">
        <f t="shared" si="1"/>
        <v>0</v>
      </c>
    </row>
    <row r="113" spans="1:20">
      <c r="A113" s="472">
        <v>135</v>
      </c>
      <c r="B113" s="492" t="s">
        <v>208</v>
      </c>
      <c r="C113" s="473">
        <v>1030</v>
      </c>
      <c r="D113" s="474">
        <f>Tabela1154[[#This Row],[MATRICULADOS 1° Semestre 2024]]*0.075</f>
        <v>77.25</v>
      </c>
      <c r="E113" s="475">
        <v>104</v>
      </c>
      <c r="F113" s="476">
        <f>IF(Tabela1154[[#This Row],[INSCRITOS - Escola de Inovadores - 1° Semestre 2024]]&lt;Tabela1154[[#This Row],[Linha de Base (7,5%) 1°Semestre]],0,1)</f>
        <v>1</v>
      </c>
      <c r="G113" s="477">
        <f>IF(Tabela1154[[#This Row],[Percentual INSCRITOS - Escola de Inovadores - 2024]]&gt;0,Tabela1154[[#This Row],[Percentual INSCRITOS - Escola de Inovadores - 2024]]*0.6,0)</f>
        <v>0.6</v>
      </c>
      <c r="H113" s="475">
        <v>50</v>
      </c>
      <c r="I113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0.6472491909385113</v>
      </c>
      <c r="J113" s="476">
        <f>IF(Tabela1154[[#This Row],[X = Percentual de inscritos na escola de inovadores para o cumprimento de meta ( Peso 0,60)]]=0, 0, Tabela1154[[#This Row],[Percentual CONCLUINTES - Escola de Inovadores 2024]]*0.4)</f>
        <v>0.25889967637540451</v>
      </c>
      <c r="K113" s="473">
        <v>1022</v>
      </c>
      <c r="L113" s="478">
        <f>Tabela1154[[#This Row],[Matriculados 2°Semestre em Curso]]*0.075</f>
        <v>76.649999999999991</v>
      </c>
      <c r="M113" s="479">
        <v>12</v>
      </c>
      <c r="N113" s="480">
        <f>IF(Tabela1154[[#This Row],[INSCRITOS - Escola de Inovadores - 2°Semestre 2024]]&lt;Tabela1154[[#This Row],[Linha de Base (7,5%) 2°Semestre]], 0,1)</f>
        <v>0</v>
      </c>
      <c r="O113" s="480">
        <f>IF(Tabela1154[[#This Row],[Taxa de Inscritos 2° Semestre 2024]]&gt;0,Tabela1154[[#This Row],[Taxa de Inscritos 2° Semestre 2024]]*0.6,0)</f>
        <v>0</v>
      </c>
      <c r="P113" s="479">
        <v>4</v>
      </c>
      <c r="Q113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13" s="480">
        <f>IF(Tabela1154[[#This Row],[Percentual CONCLUINTES - Escola de Inovadores 2024 2°Semestre]]&gt;0,Tabela1154[[#This Row],[Percentual CONCLUINTES - Escola de Inovadores 2024 2°Semestre]]*0.4,0)</f>
        <v>0</v>
      </c>
      <c r="S113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0.42944983818770222</v>
      </c>
      <c r="T113" s="481">
        <f t="shared" si="1"/>
        <v>0.5</v>
      </c>
    </row>
    <row r="114" spans="1:20">
      <c r="A114" s="472">
        <v>136</v>
      </c>
      <c r="B114" s="492" t="s">
        <v>181</v>
      </c>
      <c r="C114" s="473">
        <v>1064</v>
      </c>
      <c r="D114" s="474">
        <f>Tabela1154[[#This Row],[MATRICULADOS 1° Semestre 2024]]*0.075</f>
        <v>79.8</v>
      </c>
      <c r="E114" s="475">
        <v>115</v>
      </c>
      <c r="F114" s="476">
        <f>IF(Tabela1154[[#This Row],[INSCRITOS - Escola de Inovadores - 1° Semestre 2024]]&lt;Tabela1154[[#This Row],[Linha de Base (7,5%) 1°Semestre]],0,1)</f>
        <v>1</v>
      </c>
      <c r="G114" s="477">
        <f>IF(Tabela1154[[#This Row],[Percentual INSCRITOS - Escola de Inovadores - 2024]]&gt;0,Tabela1154[[#This Row],[Percentual INSCRITOS - Escola de Inovadores - 2024]]*0.6,0)</f>
        <v>0.6</v>
      </c>
      <c r="H114" s="475">
        <v>38</v>
      </c>
      <c r="I114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0.47619047619047622</v>
      </c>
      <c r="J114" s="476">
        <f>IF(Tabela1154[[#This Row],[X = Percentual de inscritos na escola de inovadores para o cumprimento de meta ( Peso 0,60)]]=0, 0, Tabela1154[[#This Row],[Percentual CONCLUINTES - Escola de Inovadores 2024]]*0.4)</f>
        <v>0.19047619047619049</v>
      </c>
      <c r="K114" s="473">
        <v>935</v>
      </c>
      <c r="L114" s="478">
        <f>Tabela1154[[#This Row],[Matriculados 2°Semestre em Curso]]*0.075</f>
        <v>70.125</v>
      </c>
      <c r="M114" s="479">
        <v>91</v>
      </c>
      <c r="N114" s="480">
        <f>IF(Tabela1154[[#This Row],[INSCRITOS - Escola de Inovadores - 2°Semestre 2024]]&lt;Tabela1154[[#This Row],[Linha de Base (7,5%) 2°Semestre]], 0,1)</f>
        <v>1</v>
      </c>
      <c r="O114" s="480">
        <f>IF(Tabela1154[[#This Row],[Taxa de Inscritos 2° Semestre 2024]]&gt;0,Tabela1154[[#This Row],[Taxa de Inscritos 2° Semestre 2024]]*0.6,0)</f>
        <v>0.6</v>
      </c>
      <c r="P114" s="479">
        <v>6</v>
      </c>
      <c r="Q114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8.5561497326203204E-2</v>
      </c>
      <c r="R114" s="480">
        <f>IF(Tabela1154[[#This Row],[Percentual CONCLUINTES - Escola de Inovadores 2024 2°Semestre]]&gt;0,Tabela1154[[#This Row],[Percentual CONCLUINTES - Escola de Inovadores 2024 2°Semestre]]*0.4,0)</f>
        <v>3.4224598930481284E-2</v>
      </c>
      <c r="S114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0.71235039470333583</v>
      </c>
      <c r="T114" s="481">
        <f t="shared" si="1"/>
        <v>0.8</v>
      </c>
    </row>
    <row r="115" spans="1:20">
      <c r="A115" s="472">
        <v>138</v>
      </c>
      <c r="B115" s="492" t="s">
        <v>20</v>
      </c>
      <c r="C115" s="473">
        <v>935</v>
      </c>
      <c r="D115" s="474">
        <f>Tabela1154[[#This Row],[MATRICULADOS 1° Semestre 2024]]*0.075</f>
        <v>70.125</v>
      </c>
      <c r="E115" s="475">
        <v>166</v>
      </c>
      <c r="F115" s="476">
        <f>IF(Tabela1154[[#This Row],[INSCRITOS - Escola de Inovadores - 1° Semestre 2024]]&lt;Tabela1154[[#This Row],[Linha de Base (7,5%) 1°Semestre]],0,1)</f>
        <v>1</v>
      </c>
      <c r="G115" s="477">
        <f>IF(Tabela1154[[#This Row],[Percentual INSCRITOS - Escola de Inovadores - 2024]]&gt;0,Tabela1154[[#This Row],[Percentual INSCRITOS - Escola de Inovadores - 2024]]*0.6,0)</f>
        <v>0.6</v>
      </c>
      <c r="H115" s="475">
        <v>37</v>
      </c>
      <c r="I115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0.52762923351158642</v>
      </c>
      <c r="J115" s="476">
        <f>IF(Tabela1154[[#This Row],[X = Percentual de inscritos na escola de inovadores para o cumprimento de meta ( Peso 0,60)]]=0, 0, Tabela1154[[#This Row],[Percentual CONCLUINTES - Escola de Inovadores 2024]]*0.4)</f>
        <v>0.21105169340463459</v>
      </c>
      <c r="K115" s="473">
        <v>808</v>
      </c>
      <c r="L115" s="478">
        <f>Tabela1154[[#This Row],[Matriculados 2°Semestre em Curso]]*0.075</f>
        <v>60.599999999999994</v>
      </c>
      <c r="M115" s="479">
        <v>117</v>
      </c>
      <c r="N115" s="480">
        <f>IF(Tabela1154[[#This Row],[INSCRITOS - Escola de Inovadores - 2°Semestre 2024]]&lt;Tabela1154[[#This Row],[Linha de Base (7,5%) 2°Semestre]], 0,1)</f>
        <v>1</v>
      </c>
      <c r="O115" s="480">
        <f>IF(Tabela1154[[#This Row],[Taxa de Inscritos 2° Semestre 2024]]&gt;0,Tabela1154[[#This Row],[Taxa de Inscritos 2° Semestre 2024]]*0.6,0)</f>
        <v>0.6</v>
      </c>
      <c r="P115" s="479">
        <v>104</v>
      </c>
      <c r="Q115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1</v>
      </c>
      <c r="R115" s="480">
        <f>IF(Tabela1154[[#This Row],[Percentual CONCLUINTES - Escola de Inovadores 2024 2°Semestre]]&gt;0,Tabela1154[[#This Row],[Percentual CONCLUINTES - Escola de Inovadores 2024 2°Semestre]]*0.4,0)</f>
        <v>0.4</v>
      </c>
      <c r="S115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0.90552584670231728</v>
      </c>
      <c r="T115" s="481">
        <f t="shared" si="1"/>
        <v>1</v>
      </c>
    </row>
    <row r="116" spans="1:20">
      <c r="A116" s="472">
        <v>139</v>
      </c>
      <c r="B116" s="492" t="s">
        <v>196</v>
      </c>
      <c r="C116" s="473">
        <v>842</v>
      </c>
      <c r="D116" s="474">
        <f>Tabela1154[[#This Row],[MATRICULADOS 1° Semestre 2024]]*0.075</f>
        <v>63.15</v>
      </c>
      <c r="E116" s="475">
        <v>341</v>
      </c>
      <c r="F116" s="476">
        <f>IF(Tabela1154[[#This Row],[INSCRITOS - Escola de Inovadores - 1° Semestre 2024]]&lt;Tabela1154[[#This Row],[Linha de Base (7,5%) 1°Semestre]],0,1)</f>
        <v>1</v>
      </c>
      <c r="G116" s="477">
        <f>IF(Tabela1154[[#This Row],[Percentual INSCRITOS - Escola de Inovadores - 2024]]&gt;0,Tabela1154[[#This Row],[Percentual INSCRITOS - Escola de Inovadores - 2024]]*0.6,0)</f>
        <v>0.6</v>
      </c>
      <c r="H116" s="475">
        <v>239</v>
      </c>
      <c r="I116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116" s="476">
        <f>IF(Tabela1154[[#This Row],[X = Percentual de inscritos na escola de inovadores para o cumprimento de meta ( Peso 0,60)]]=0, 0, Tabela1154[[#This Row],[Percentual CONCLUINTES - Escola de Inovadores 2024]]*0.4)</f>
        <v>0.4</v>
      </c>
      <c r="K116" s="473">
        <v>341</v>
      </c>
      <c r="L116" s="478">
        <f>Tabela1154[[#This Row],[Matriculados 2°Semestre em Curso]]*0.075</f>
        <v>25.574999999999999</v>
      </c>
      <c r="M116" s="479">
        <v>4</v>
      </c>
      <c r="N116" s="480">
        <f>IF(Tabela1154[[#This Row],[INSCRITOS - Escola de Inovadores - 2°Semestre 2024]]&lt;Tabela1154[[#This Row],[Linha de Base (7,5%) 2°Semestre]], 0,1)</f>
        <v>0</v>
      </c>
      <c r="O116" s="480">
        <f>IF(Tabela1154[[#This Row],[Taxa de Inscritos 2° Semestre 2024]]&gt;0,Tabela1154[[#This Row],[Taxa de Inscritos 2° Semestre 2024]]*0.6,0)</f>
        <v>0</v>
      </c>
      <c r="P116" s="479">
        <v>0</v>
      </c>
      <c r="Q116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16" s="480">
        <f>IF(Tabela1154[[#This Row],[Percentual CONCLUINTES - Escola de Inovadores 2024 2°Semestre]]&gt;0,Tabela1154[[#This Row],[Percentual CONCLUINTES - Escola de Inovadores 2024 2°Semestre]]*0.4,0)</f>
        <v>0</v>
      </c>
      <c r="S116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116" s="481">
        <f t="shared" si="1"/>
        <v>0.6</v>
      </c>
    </row>
    <row r="117" spans="1:20">
      <c r="A117" s="472">
        <v>140</v>
      </c>
      <c r="B117" s="492" t="s">
        <v>172</v>
      </c>
      <c r="C117" s="473">
        <v>375</v>
      </c>
      <c r="D117" s="474">
        <f>Tabela1154[[#This Row],[MATRICULADOS 1° Semestre 2024]]*0.075</f>
        <v>28.125</v>
      </c>
      <c r="E117" s="475">
        <v>0</v>
      </c>
      <c r="F117" s="476">
        <f>IF(Tabela1154[[#This Row],[INSCRITOS - Escola de Inovadores - 1° Semestre 2024]]&lt;Tabela1154[[#This Row],[Linha de Base (7,5%) 1°Semestre]],0,1)</f>
        <v>0</v>
      </c>
      <c r="G117" s="477">
        <f>IF(Tabela1154[[#This Row],[Percentual INSCRITOS - Escola de Inovadores - 2024]]&gt;0,Tabela1154[[#This Row],[Percentual INSCRITOS - Escola de Inovadores - 2024]]*0.6,0)</f>
        <v>0</v>
      </c>
      <c r="H117" s="475">
        <v>0</v>
      </c>
      <c r="I117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17" s="476">
        <f>IF(Tabela1154[[#This Row],[X = Percentual de inscritos na escola de inovadores para o cumprimento de meta ( Peso 0,60)]]=0, 0, Tabela1154[[#This Row],[Percentual CONCLUINTES - Escola de Inovadores 2024]]*0.4)</f>
        <v>0</v>
      </c>
      <c r="K117" s="473">
        <v>916</v>
      </c>
      <c r="L117" s="478">
        <f>Tabela1154[[#This Row],[Matriculados 2°Semestre em Curso]]*0.075</f>
        <v>68.7</v>
      </c>
      <c r="M117" s="479">
        <v>0</v>
      </c>
      <c r="N117" s="480">
        <f>IF(Tabela1154[[#This Row],[INSCRITOS - Escola de Inovadores - 2°Semestre 2024]]&lt;Tabela1154[[#This Row],[Linha de Base (7,5%) 2°Semestre]], 0,1)</f>
        <v>0</v>
      </c>
      <c r="O117" s="480">
        <f>IF(Tabela1154[[#This Row],[Taxa de Inscritos 2° Semestre 2024]]&gt;0,Tabela1154[[#This Row],[Taxa de Inscritos 2° Semestre 2024]]*0.6,0)</f>
        <v>0</v>
      </c>
      <c r="P117" s="479">
        <v>0</v>
      </c>
      <c r="Q117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17" s="480">
        <f>IF(Tabela1154[[#This Row],[Percentual CONCLUINTES - Escola de Inovadores 2024 2°Semestre]]&gt;0,Tabela1154[[#This Row],[Percentual CONCLUINTES - Escola de Inovadores 2024 2°Semestre]]*0.4,0)</f>
        <v>0</v>
      </c>
      <c r="S117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17" s="481">
        <f t="shared" si="1"/>
        <v>0</v>
      </c>
    </row>
    <row r="118" spans="1:20">
      <c r="A118" s="472">
        <v>141</v>
      </c>
      <c r="B118" s="492" t="s">
        <v>33</v>
      </c>
      <c r="C118" s="473">
        <v>949</v>
      </c>
      <c r="D118" s="474">
        <f>Tabela1154[[#This Row],[MATRICULADOS 1° Semestre 2024]]*0.075</f>
        <v>71.174999999999997</v>
      </c>
      <c r="E118" s="475">
        <v>62</v>
      </c>
      <c r="F118" s="476">
        <f>IF(Tabela1154[[#This Row],[INSCRITOS - Escola de Inovadores - 1° Semestre 2024]]&lt;Tabela1154[[#This Row],[Linha de Base (7,5%) 1°Semestre]],0,1)</f>
        <v>0</v>
      </c>
      <c r="G118" s="477">
        <f>IF(Tabela1154[[#This Row],[Percentual INSCRITOS - Escola de Inovadores - 2024]]&gt;0,Tabela1154[[#This Row],[Percentual INSCRITOS - Escola de Inovadores - 2024]]*0.6,0)</f>
        <v>0</v>
      </c>
      <c r="H118" s="475">
        <v>0</v>
      </c>
      <c r="I118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18" s="476">
        <f>IF(Tabela1154[[#This Row],[X = Percentual de inscritos na escola de inovadores para o cumprimento de meta ( Peso 0,60)]]=0, 0, Tabela1154[[#This Row],[Percentual CONCLUINTES - Escola de Inovadores 2024]]*0.4)</f>
        <v>0</v>
      </c>
      <c r="K118" s="473">
        <v>1149</v>
      </c>
      <c r="L118" s="478">
        <f>Tabela1154[[#This Row],[Matriculados 2°Semestre em Curso]]*0.075</f>
        <v>86.174999999999997</v>
      </c>
      <c r="M118" s="479">
        <v>0</v>
      </c>
      <c r="N118" s="480">
        <f>IF(Tabela1154[[#This Row],[INSCRITOS - Escola de Inovadores - 2°Semestre 2024]]&lt;Tabela1154[[#This Row],[Linha de Base (7,5%) 2°Semestre]], 0,1)</f>
        <v>0</v>
      </c>
      <c r="O118" s="480">
        <f>IF(Tabela1154[[#This Row],[Taxa de Inscritos 2° Semestre 2024]]&gt;0,Tabela1154[[#This Row],[Taxa de Inscritos 2° Semestre 2024]]*0.6,0)</f>
        <v>0</v>
      </c>
      <c r="P118" s="479">
        <v>0</v>
      </c>
      <c r="Q118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18" s="480">
        <f>IF(Tabela1154[[#This Row],[Percentual CONCLUINTES - Escola de Inovadores 2024 2°Semestre]]&gt;0,Tabela1154[[#This Row],[Percentual CONCLUINTES - Escola de Inovadores 2024 2°Semestre]]*0.4,0)</f>
        <v>0</v>
      </c>
      <c r="S118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18" s="481">
        <f t="shared" si="1"/>
        <v>0</v>
      </c>
    </row>
    <row r="119" spans="1:20">
      <c r="A119" s="472">
        <v>142</v>
      </c>
      <c r="B119" s="492" t="s">
        <v>105</v>
      </c>
      <c r="C119" s="473">
        <v>1153</v>
      </c>
      <c r="D119" s="474">
        <f>Tabela1154[[#This Row],[MATRICULADOS 1° Semestre 2024]]*0.075</f>
        <v>86.474999999999994</v>
      </c>
      <c r="E119" s="475">
        <v>8</v>
      </c>
      <c r="F119" s="476">
        <f>IF(Tabela1154[[#This Row],[INSCRITOS - Escola de Inovadores - 1° Semestre 2024]]&lt;Tabela1154[[#This Row],[Linha de Base (7,5%) 1°Semestre]],0,1)</f>
        <v>0</v>
      </c>
      <c r="G119" s="477">
        <f>IF(Tabela1154[[#This Row],[Percentual INSCRITOS - Escola de Inovadores - 2024]]&gt;0,Tabela1154[[#This Row],[Percentual INSCRITOS - Escola de Inovadores - 2024]]*0.6,0)</f>
        <v>0</v>
      </c>
      <c r="H119" s="475">
        <v>2</v>
      </c>
      <c r="I119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19" s="476">
        <f>IF(Tabela1154[[#This Row],[X = Percentual de inscritos na escola de inovadores para o cumprimento de meta ( Peso 0,60)]]=0, 0, Tabela1154[[#This Row],[Percentual CONCLUINTES - Escola de Inovadores 2024]]*0.4)</f>
        <v>0</v>
      </c>
      <c r="K119" s="473">
        <v>904</v>
      </c>
      <c r="L119" s="478">
        <f>Tabela1154[[#This Row],[Matriculados 2°Semestre em Curso]]*0.075</f>
        <v>67.8</v>
      </c>
      <c r="M119" s="479">
        <v>169</v>
      </c>
      <c r="N119" s="480">
        <f>IF(Tabela1154[[#This Row],[INSCRITOS - Escola de Inovadores - 2°Semestre 2024]]&lt;Tabela1154[[#This Row],[Linha de Base (7,5%) 2°Semestre]], 0,1)</f>
        <v>1</v>
      </c>
      <c r="O119" s="480">
        <f>IF(Tabela1154[[#This Row],[Taxa de Inscritos 2° Semestre 2024]]&gt;0,Tabela1154[[#This Row],[Taxa de Inscritos 2° Semestre 2024]]*0.6,0)</f>
        <v>0.6</v>
      </c>
      <c r="P119" s="479">
        <v>81</v>
      </c>
      <c r="Q119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1</v>
      </c>
      <c r="R119" s="480">
        <f>IF(Tabela1154[[#This Row],[Percentual CONCLUINTES - Escola de Inovadores 2024 2°Semestre]]&gt;0,Tabela1154[[#This Row],[Percentual CONCLUINTES - Escola de Inovadores 2024 2°Semestre]]*0.4,0)</f>
        <v>0.4</v>
      </c>
      <c r="S119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119" s="481">
        <f t="shared" si="1"/>
        <v>0.6</v>
      </c>
    </row>
    <row r="120" spans="1:20">
      <c r="A120" s="472">
        <v>144</v>
      </c>
      <c r="B120" s="492" t="s">
        <v>114</v>
      </c>
      <c r="C120" s="473">
        <v>989</v>
      </c>
      <c r="D120" s="474">
        <f>Tabela1154[[#This Row],[MATRICULADOS 1° Semestre 2024]]*0.075</f>
        <v>74.174999999999997</v>
      </c>
      <c r="E120" s="475">
        <v>221</v>
      </c>
      <c r="F120" s="476">
        <f>IF(Tabela1154[[#This Row],[INSCRITOS - Escola de Inovadores - 1° Semestre 2024]]&lt;Tabela1154[[#This Row],[Linha de Base (7,5%) 1°Semestre]],0,1)</f>
        <v>1</v>
      </c>
      <c r="G120" s="477">
        <f>IF(Tabela1154[[#This Row],[Percentual INSCRITOS - Escola de Inovadores - 2024]]&gt;0,Tabela1154[[#This Row],[Percentual INSCRITOS - Escola de Inovadores - 2024]]*0.6,0)</f>
        <v>0.6</v>
      </c>
      <c r="H120" s="475">
        <v>68</v>
      </c>
      <c r="I120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0.91675092686215032</v>
      </c>
      <c r="J120" s="476">
        <f>IF(Tabela1154[[#This Row],[X = Percentual de inscritos na escola de inovadores para o cumprimento de meta ( Peso 0,60)]]=0, 0, Tabela1154[[#This Row],[Percentual CONCLUINTES - Escola de Inovadores 2024]]*0.4)</f>
        <v>0.36670037074486017</v>
      </c>
      <c r="K120" s="473">
        <v>388</v>
      </c>
      <c r="L120" s="478">
        <f>Tabela1154[[#This Row],[Matriculados 2°Semestre em Curso]]*0.075</f>
        <v>29.099999999999998</v>
      </c>
      <c r="M120" s="479">
        <v>9</v>
      </c>
      <c r="N120" s="480">
        <f>IF(Tabela1154[[#This Row],[INSCRITOS - Escola de Inovadores - 2°Semestre 2024]]&lt;Tabela1154[[#This Row],[Linha de Base (7,5%) 2°Semestre]], 0,1)</f>
        <v>0</v>
      </c>
      <c r="O120" s="480">
        <f>IF(Tabela1154[[#This Row],[Taxa de Inscritos 2° Semestre 2024]]&gt;0,Tabela1154[[#This Row],[Taxa de Inscritos 2° Semestre 2024]]*0.6,0)</f>
        <v>0</v>
      </c>
      <c r="P120" s="479">
        <v>0</v>
      </c>
      <c r="Q120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20" s="480">
        <f>IF(Tabela1154[[#This Row],[Percentual CONCLUINTES - Escola de Inovadores 2024 2°Semestre]]&gt;0,Tabela1154[[#This Row],[Percentual CONCLUINTES - Escola de Inovadores 2024 2°Semestre]]*0.4,0)</f>
        <v>0</v>
      </c>
      <c r="S120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0.48335018537243007</v>
      </c>
      <c r="T120" s="481">
        <f t="shared" si="1"/>
        <v>0.5</v>
      </c>
    </row>
    <row r="121" spans="1:20">
      <c r="A121" s="472">
        <v>145</v>
      </c>
      <c r="B121" s="492" t="s">
        <v>139</v>
      </c>
      <c r="C121" s="473">
        <v>384</v>
      </c>
      <c r="D121" s="474">
        <f>Tabela1154[[#This Row],[MATRICULADOS 1° Semestre 2024]]*0.075</f>
        <v>28.799999999999997</v>
      </c>
      <c r="E121" s="475">
        <v>2</v>
      </c>
      <c r="F121" s="476">
        <f>IF(Tabela1154[[#This Row],[INSCRITOS - Escola de Inovadores - 1° Semestre 2024]]&lt;Tabela1154[[#This Row],[Linha de Base (7,5%) 1°Semestre]],0,1)</f>
        <v>0</v>
      </c>
      <c r="G121" s="477">
        <f>IF(Tabela1154[[#This Row],[Percentual INSCRITOS - Escola de Inovadores - 2024]]&gt;0,Tabela1154[[#This Row],[Percentual INSCRITOS - Escola de Inovadores - 2024]]*0.6,0)</f>
        <v>0</v>
      </c>
      <c r="H121" s="475">
        <v>1</v>
      </c>
      <c r="I121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21" s="476">
        <f>IF(Tabela1154[[#This Row],[X = Percentual de inscritos na escola de inovadores para o cumprimento de meta ( Peso 0,60)]]=0, 0, Tabela1154[[#This Row],[Percentual CONCLUINTES - Escola de Inovadores 2024]]*0.4)</f>
        <v>0</v>
      </c>
      <c r="K121" s="473">
        <v>906</v>
      </c>
      <c r="L121" s="478">
        <f>Tabela1154[[#This Row],[Matriculados 2°Semestre em Curso]]*0.075</f>
        <v>67.95</v>
      </c>
      <c r="M121" s="479">
        <v>22</v>
      </c>
      <c r="N121" s="480">
        <f>IF(Tabela1154[[#This Row],[INSCRITOS - Escola de Inovadores - 2°Semestre 2024]]&lt;Tabela1154[[#This Row],[Linha de Base (7,5%) 2°Semestre]], 0,1)</f>
        <v>0</v>
      </c>
      <c r="O121" s="480">
        <f>IF(Tabela1154[[#This Row],[Taxa de Inscritos 2° Semestre 2024]]&gt;0,Tabela1154[[#This Row],[Taxa de Inscritos 2° Semestre 2024]]*0.6,0)</f>
        <v>0</v>
      </c>
      <c r="P121" s="479">
        <v>0</v>
      </c>
      <c r="Q121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21" s="480">
        <f>IF(Tabela1154[[#This Row],[Percentual CONCLUINTES - Escola de Inovadores 2024 2°Semestre]]&gt;0,Tabela1154[[#This Row],[Percentual CONCLUINTES - Escola de Inovadores 2024 2°Semestre]]*0.4,0)</f>
        <v>0</v>
      </c>
      <c r="S121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21" s="481">
        <f t="shared" si="1"/>
        <v>0</v>
      </c>
    </row>
    <row r="122" spans="1:20">
      <c r="A122" s="472">
        <v>147</v>
      </c>
      <c r="B122" s="492" t="s">
        <v>42</v>
      </c>
      <c r="C122" s="473">
        <v>902</v>
      </c>
      <c r="D122" s="474">
        <f>Tabela1154[[#This Row],[MATRICULADOS 1° Semestre 2024]]*0.075</f>
        <v>67.649999999999991</v>
      </c>
      <c r="E122" s="475">
        <v>5</v>
      </c>
      <c r="F122" s="476">
        <f>IF(Tabela1154[[#This Row],[INSCRITOS - Escola de Inovadores - 1° Semestre 2024]]&lt;Tabela1154[[#This Row],[Linha de Base (7,5%) 1°Semestre]],0,1)</f>
        <v>0</v>
      </c>
      <c r="G122" s="477">
        <f>IF(Tabela1154[[#This Row],[Percentual INSCRITOS - Escola de Inovadores - 2024]]&gt;0,Tabela1154[[#This Row],[Percentual INSCRITOS - Escola de Inovadores - 2024]]*0.6,0)</f>
        <v>0</v>
      </c>
      <c r="H122" s="475">
        <v>1</v>
      </c>
      <c r="I122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22" s="476">
        <f>IF(Tabela1154[[#This Row],[X = Percentual de inscritos na escola de inovadores para o cumprimento de meta ( Peso 0,60)]]=0, 0, Tabela1154[[#This Row],[Percentual CONCLUINTES - Escola de Inovadores 2024]]*0.4)</f>
        <v>0</v>
      </c>
      <c r="K122" s="473">
        <v>867</v>
      </c>
      <c r="L122" s="478">
        <f>Tabela1154[[#This Row],[Matriculados 2°Semestre em Curso]]*0.075</f>
        <v>65.024999999999991</v>
      </c>
      <c r="M122" s="479">
        <v>22</v>
      </c>
      <c r="N122" s="480">
        <f>IF(Tabela1154[[#This Row],[INSCRITOS - Escola de Inovadores - 2°Semestre 2024]]&lt;Tabela1154[[#This Row],[Linha de Base (7,5%) 2°Semestre]], 0,1)</f>
        <v>0</v>
      </c>
      <c r="O122" s="480">
        <f>IF(Tabela1154[[#This Row],[Taxa de Inscritos 2° Semestre 2024]]&gt;0,Tabela1154[[#This Row],[Taxa de Inscritos 2° Semestre 2024]]*0.6,0)</f>
        <v>0</v>
      </c>
      <c r="P122" s="479">
        <v>1</v>
      </c>
      <c r="Q122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22" s="480">
        <f>IF(Tabela1154[[#This Row],[Percentual CONCLUINTES - Escola de Inovadores 2024 2°Semestre]]&gt;0,Tabela1154[[#This Row],[Percentual CONCLUINTES - Escola de Inovadores 2024 2°Semestre]]*0.4,0)</f>
        <v>0</v>
      </c>
      <c r="S122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22" s="481">
        <f t="shared" si="1"/>
        <v>0</v>
      </c>
    </row>
    <row r="123" spans="1:20">
      <c r="A123" s="472">
        <v>148</v>
      </c>
      <c r="B123" s="492" t="s">
        <v>131</v>
      </c>
      <c r="C123" s="473">
        <v>888</v>
      </c>
      <c r="D123" s="474">
        <f>Tabela1154[[#This Row],[MATRICULADOS 1° Semestre 2024]]*0.075</f>
        <v>66.599999999999994</v>
      </c>
      <c r="E123" s="475">
        <v>200</v>
      </c>
      <c r="F123" s="476">
        <f>IF(Tabela1154[[#This Row],[INSCRITOS - Escola de Inovadores - 1° Semestre 2024]]&lt;Tabela1154[[#This Row],[Linha de Base (7,5%) 1°Semestre]],0,1)</f>
        <v>1</v>
      </c>
      <c r="G123" s="477">
        <f>IF(Tabela1154[[#This Row],[Percentual INSCRITOS - Escola de Inovadores - 2024]]&gt;0,Tabela1154[[#This Row],[Percentual INSCRITOS - Escola de Inovadores - 2024]]*0.6,0)</f>
        <v>0.6</v>
      </c>
      <c r="H123" s="475">
        <v>75</v>
      </c>
      <c r="I123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123" s="476">
        <f>IF(Tabela1154[[#This Row],[X = Percentual de inscritos na escola de inovadores para o cumprimento de meta ( Peso 0,60)]]=0, 0, Tabela1154[[#This Row],[Percentual CONCLUINTES - Escola de Inovadores 2024]]*0.4)</f>
        <v>0.4</v>
      </c>
      <c r="K123" s="473">
        <v>1018</v>
      </c>
      <c r="L123" s="478">
        <f>Tabela1154[[#This Row],[Matriculados 2°Semestre em Curso]]*0.075</f>
        <v>76.349999999999994</v>
      </c>
      <c r="M123" s="479">
        <v>109</v>
      </c>
      <c r="N123" s="480">
        <f>IF(Tabela1154[[#This Row],[INSCRITOS - Escola de Inovadores - 2°Semestre 2024]]&lt;Tabela1154[[#This Row],[Linha de Base (7,5%) 2°Semestre]], 0,1)</f>
        <v>1</v>
      </c>
      <c r="O123" s="480">
        <f>IF(Tabela1154[[#This Row],[Taxa de Inscritos 2° Semestre 2024]]&gt;0,Tabela1154[[#This Row],[Taxa de Inscritos 2° Semestre 2024]]*0.6,0)</f>
        <v>0.6</v>
      </c>
      <c r="P123" s="479">
        <v>13</v>
      </c>
      <c r="Q123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0.17026850032743943</v>
      </c>
      <c r="R123" s="480">
        <f>IF(Tabela1154[[#This Row],[Percentual CONCLUINTES - Escola de Inovadores 2024 2°Semestre]]&gt;0,Tabela1154[[#This Row],[Percentual CONCLUINTES - Escola de Inovadores 2024 2°Semestre]]*0.4,0)</f>
        <v>6.810740013097577E-2</v>
      </c>
      <c r="S123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0.83405370006548796</v>
      </c>
      <c r="T123" s="481">
        <f t="shared" si="1"/>
        <v>1</v>
      </c>
    </row>
    <row r="124" spans="1:20">
      <c r="A124" s="472">
        <v>149</v>
      </c>
      <c r="B124" s="492" t="s">
        <v>28</v>
      </c>
      <c r="C124" s="473">
        <v>1051</v>
      </c>
      <c r="D124" s="474">
        <f>Tabela1154[[#This Row],[MATRICULADOS 1° Semestre 2024]]*0.075</f>
        <v>78.825000000000003</v>
      </c>
      <c r="E124" s="475">
        <v>159</v>
      </c>
      <c r="F124" s="476">
        <f>IF(Tabela1154[[#This Row],[INSCRITOS - Escola de Inovadores - 1° Semestre 2024]]&lt;Tabela1154[[#This Row],[Linha de Base (7,5%) 1°Semestre]],0,1)</f>
        <v>1</v>
      </c>
      <c r="G124" s="477">
        <f>IF(Tabela1154[[#This Row],[Percentual INSCRITOS - Escola de Inovadores - 2024]]&gt;0,Tabela1154[[#This Row],[Percentual INSCRITOS - Escola de Inovadores - 2024]]*0.6,0)</f>
        <v>0.6</v>
      </c>
      <c r="H124" s="475">
        <v>40</v>
      </c>
      <c r="I124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0.50745321915635899</v>
      </c>
      <c r="J124" s="476">
        <f>IF(Tabela1154[[#This Row],[X = Percentual de inscritos na escola de inovadores para o cumprimento de meta ( Peso 0,60)]]=0, 0, Tabela1154[[#This Row],[Percentual CONCLUINTES - Escola de Inovadores 2024]]*0.4)</f>
        <v>0.20298128766254361</v>
      </c>
      <c r="K124" s="473">
        <v>663</v>
      </c>
      <c r="L124" s="478">
        <f>Tabela1154[[#This Row],[Matriculados 2°Semestre em Curso]]*0.075</f>
        <v>49.725000000000001</v>
      </c>
      <c r="M124" s="479">
        <v>76</v>
      </c>
      <c r="N124" s="480">
        <f>IF(Tabela1154[[#This Row],[INSCRITOS - Escola de Inovadores - 2°Semestre 2024]]&lt;Tabela1154[[#This Row],[Linha de Base (7,5%) 2°Semestre]], 0,1)</f>
        <v>1</v>
      </c>
      <c r="O124" s="480">
        <f>IF(Tabela1154[[#This Row],[Taxa de Inscritos 2° Semestre 2024]]&gt;0,Tabela1154[[#This Row],[Taxa de Inscritos 2° Semestre 2024]]*0.6,0)</f>
        <v>0.6</v>
      </c>
      <c r="P124" s="479">
        <v>22</v>
      </c>
      <c r="Q124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0.44243338360985418</v>
      </c>
      <c r="R124" s="480">
        <f>IF(Tabela1154[[#This Row],[Percentual CONCLUINTES - Escola de Inovadores 2024 2°Semestre]]&gt;0,Tabela1154[[#This Row],[Percentual CONCLUINTES - Escola de Inovadores 2024 2°Semestre]]*0.4,0)</f>
        <v>0.17697335344394169</v>
      </c>
      <c r="S124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0.78997732055324266</v>
      </c>
      <c r="T124" s="481">
        <f t="shared" si="1"/>
        <v>0.8</v>
      </c>
    </row>
    <row r="125" spans="1:20">
      <c r="A125" s="472">
        <v>150</v>
      </c>
      <c r="B125" s="492" t="s">
        <v>70</v>
      </c>
      <c r="C125" s="473">
        <v>690</v>
      </c>
      <c r="D125" s="474">
        <f>Tabela1154[[#This Row],[MATRICULADOS 1° Semestre 2024]]*0.075</f>
        <v>51.75</v>
      </c>
      <c r="E125" s="475">
        <v>98</v>
      </c>
      <c r="F125" s="476">
        <f>IF(Tabela1154[[#This Row],[INSCRITOS - Escola de Inovadores - 1° Semestre 2024]]&lt;Tabela1154[[#This Row],[Linha de Base (7,5%) 1°Semestre]],0,1)</f>
        <v>1</v>
      </c>
      <c r="G125" s="477">
        <f>IF(Tabela1154[[#This Row],[Percentual INSCRITOS - Escola de Inovadores - 2024]]&gt;0,Tabela1154[[#This Row],[Percentual INSCRITOS - Escola de Inovadores - 2024]]*0.6,0)</f>
        <v>0.6</v>
      </c>
      <c r="H125" s="475">
        <v>2</v>
      </c>
      <c r="I125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3.864734299516908E-2</v>
      </c>
      <c r="J125" s="476">
        <f>IF(Tabela1154[[#This Row],[X = Percentual de inscritos na escola de inovadores para o cumprimento de meta ( Peso 0,60)]]=0, 0, Tabela1154[[#This Row],[Percentual CONCLUINTES - Escola de Inovadores 2024]]*0.4)</f>
        <v>1.5458937198067632E-2</v>
      </c>
      <c r="K125" s="473">
        <v>849</v>
      </c>
      <c r="L125" s="478">
        <f>Tabela1154[[#This Row],[Matriculados 2°Semestre em Curso]]*0.075</f>
        <v>63.674999999999997</v>
      </c>
      <c r="M125" s="479">
        <v>98</v>
      </c>
      <c r="N125" s="480">
        <f>IF(Tabela1154[[#This Row],[INSCRITOS - Escola de Inovadores - 2°Semestre 2024]]&lt;Tabela1154[[#This Row],[Linha de Base (7,5%) 2°Semestre]], 0,1)</f>
        <v>1</v>
      </c>
      <c r="O125" s="480">
        <f>IF(Tabela1154[[#This Row],[Taxa de Inscritos 2° Semestre 2024]]&gt;0,Tabela1154[[#This Row],[Taxa de Inscritos 2° Semestre 2024]]*0.6,0)</f>
        <v>0.6</v>
      </c>
      <c r="P125" s="479">
        <v>2</v>
      </c>
      <c r="Q125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3.1409501374165684E-2</v>
      </c>
      <c r="R125" s="480">
        <f>IF(Tabela1154[[#This Row],[Percentual CONCLUINTES - Escola de Inovadores 2024 2°Semestre]]&gt;0,Tabela1154[[#This Row],[Percentual CONCLUINTES - Escola de Inovadores 2024 2°Semestre]]*0.4,0)</f>
        <v>1.2563800549666274E-2</v>
      </c>
      <c r="S125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0.61401136887386687</v>
      </c>
      <c r="T125" s="481">
        <f t="shared" si="1"/>
        <v>0.7</v>
      </c>
    </row>
    <row r="126" spans="1:20">
      <c r="A126" s="472">
        <v>151</v>
      </c>
      <c r="B126" s="492" t="s">
        <v>168</v>
      </c>
      <c r="C126" s="473">
        <v>916</v>
      </c>
      <c r="D126" s="474">
        <f>Tabela1154[[#This Row],[MATRICULADOS 1° Semestre 2024]]*0.075</f>
        <v>68.7</v>
      </c>
      <c r="E126" s="475">
        <v>61</v>
      </c>
      <c r="F126" s="476">
        <f>IF(Tabela1154[[#This Row],[INSCRITOS - Escola de Inovadores - 1° Semestre 2024]]&lt;Tabela1154[[#This Row],[Linha de Base (7,5%) 1°Semestre]],0,1)</f>
        <v>0</v>
      </c>
      <c r="G126" s="477">
        <f>IF(Tabela1154[[#This Row],[Percentual INSCRITOS - Escola de Inovadores - 2024]]&gt;0,Tabela1154[[#This Row],[Percentual INSCRITOS - Escola de Inovadores - 2024]]*0.6,0)</f>
        <v>0</v>
      </c>
      <c r="H126" s="475">
        <v>7</v>
      </c>
      <c r="I126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26" s="476">
        <f>IF(Tabela1154[[#This Row],[X = Percentual de inscritos na escola de inovadores para o cumprimento de meta ( Peso 0,60)]]=0, 0, Tabela1154[[#This Row],[Percentual CONCLUINTES - Escola de Inovadores 2024]]*0.4)</f>
        <v>0</v>
      </c>
      <c r="K126" s="473">
        <v>937</v>
      </c>
      <c r="L126" s="478">
        <f>Tabela1154[[#This Row],[Matriculados 2°Semestre em Curso]]*0.075</f>
        <v>70.274999999999991</v>
      </c>
      <c r="M126" s="479">
        <v>9</v>
      </c>
      <c r="N126" s="480">
        <f>IF(Tabela1154[[#This Row],[INSCRITOS - Escola de Inovadores - 2°Semestre 2024]]&lt;Tabela1154[[#This Row],[Linha de Base (7,5%) 2°Semestre]], 0,1)</f>
        <v>0</v>
      </c>
      <c r="O126" s="480">
        <f>IF(Tabela1154[[#This Row],[Taxa de Inscritos 2° Semestre 2024]]&gt;0,Tabela1154[[#This Row],[Taxa de Inscritos 2° Semestre 2024]]*0.6,0)</f>
        <v>0</v>
      </c>
      <c r="P126" s="479">
        <v>0</v>
      </c>
      <c r="Q126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26" s="480">
        <f>IF(Tabela1154[[#This Row],[Percentual CONCLUINTES - Escola de Inovadores 2024 2°Semestre]]&gt;0,Tabela1154[[#This Row],[Percentual CONCLUINTES - Escola de Inovadores 2024 2°Semestre]]*0.4,0)</f>
        <v>0</v>
      </c>
      <c r="S126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26" s="481">
        <f t="shared" si="1"/>
        <v>0</v>
      </c>
    </row>
    <row r="127" spans="1:20">
      <c r="A127" s="472">
        <v>152</v>
      </c>
      <c r="B127" s="492" t="s">
        <v>24</v>
      </c>
      <c r="C127" s="473">
        <v>969</v>
      </c>
      <c r="D127" s="474">
        <f>Tabela1154[[#This Row],[MATRICULADOS 1° Semestre 2024]]*0.075</f>
        <v>72.674999999999997</v>
      </c>
      <c r="E127" s="475">
        <v>65</v>
      </c>
      <c r="F127" s="476">
        <f>IF(Tabela1154[[#This Row],[INSCRITOS - Escola de Inovadores - 1° Semestre 2024]]&lt;Tabela1154[[#This Row],[Linha de Base (7,5%) 1°Semestre]],0,1)</f>
        <v>0</v>
      </c>
      <c r="G127" s="477">
        <f>IF(Tabela1154[[#This Row],[Percentual INSCRITOS - Escola de Inovadores - 2024]]&gt;0,Tabela1154[[#This Row],[Percentual INSCRITOS - Escola de Inovadores - 2024]]*0.6,0)</f>
        <v>0</v>
      </c>
      <c r="H127" s="475">
        <v>11</v>
      </c>
      <c r="I127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27" s="476">
        <f>IF(Tabela1154[[#This Row],[X = Percentual de inscritos na escola de inovadores para o cumprimento de meta ( Peso 0,60)]]=0, 0, Tabela1154[[#This Row],[Percentual CONCLUINTES - Escola de Inovadores 2024]]*0.4)</f>
        <v>0</v>
      </c>
      <c r="K127" s="473">
        <v>903</v>
      </c>
      <c r="L127" s="478">
        <f>Tabela1154[[#This Row],[Matriculados 2°Semestre em Curso]]*0.075</f>
        <v>67.724999999999994</v>
      </c>
      <c r="M127" s="479">
        <v>104</v>
      </c>
      <c r="N127" s="480">
        <f>IF(Tabela1154[[#This Row],[INSCRITOS - Escola de Inovadores - 2°Semestre 2024]]&lt;Tabela1154[[#This Row],[Linha de Base (7,5%) 2°Semestre]], 0,1)</f>
        <v>1</v>
      </c>
      <c r="O127" s="480">
        <f>IF(Tabela1154[[#This Row],[Taxa de Inscritos 2° Semestre 2024]]&gt;0,Tabela1154[[#This Row],[Taxa de Inscritos 2° Semestre 2024]]*0.6,0)</f>
        <v>0.6</v>
      </c>
      <c r="P127" s="479">
        <v>8</v>
      </c>
      <c r="Q127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0.11812476928755999</v>
      </c>
      <c r="R127" s="480">
        <f>IF(Tabela1154[[#This Row],[Percentual CONCLUINTES - Escola de Inovadores 2024 2°Semestre]]&gt;0,Tabela1154[[#This Row],[Percentual CONCLUINTES - Escola de Inovadores 2024 2°Semestre]]*0.4,0)</f>
        <v>4.7249907715023999E-2</v>
      </c>
      <c r="S127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0.323624953857512</v>
      </c>
      <c r="T127" s="481">
        <f t="shared" si="1"/>
        <v>0</v>
      </c>
    </row>
    <row r="128" spans="1:20">
      <c r="A128" s="472">
        <v>153</v>
      </c>
      <c r="B128" s="492" t="s">
        <v>189</v>
      </c>
      <c r="C128" s="473">
        <v>974</v>
      </c>
      <c r="D128" s="474">
        <f>Tabela1154[[#This Row],[MATRICULADOS 1° Semestre 2024]]*0.075</f>
        <v>73.05</v>
      </c>
      <c r="E128" s="475">
        <v>62</v>
      </c>
      <c r="F128" s="476">
        <f>IF(Tabela1154[[#This Row],[INSCRITOS - Escola de Inovadores - 1° Semestre 2024]]&lt;Tabela1154[[#This Row],[Linha de Base (7,5%) 1°Semestre]],0,1)</f>
        <v>0</v>
      </c>
      <c r="G128" s="477">
        <f>IF(Tabela1154[[#This Row],[Percentual INSCRITOS - Escola de Inovadores - 2024]]&gt;0,Tabela1154[[#This Row],[Percentual INSCRITOS - Escola de Inovadores - 2024]]*0.6,0)</f>
        <v>0</v>
      </c>
      <c r="H128" s="475">
        <v>20</v>
      </c>
      <c r="I128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28" s="476">
        <f>IF(Tabela1154[[#This Row],[X = Percentual de inscritos na escola de inovadores para o cumprimento de meta ( Peso 0,60)]]=0, 0, Tabela1154[[#This Row],[Percentual CONCLUINTES - Escola de Inovadores 2024]]*0.4)</f>
        <v>0</v>
      </c>
      <c r="K128" s="473">
        <v>564</v>
      </c>
      <c r="L128" s="478">
        <f>Tabela1154[[#This Row],[Matriculados 2°Semestre em Curso]]*0.075</f>
        <v>42.3</v>
      </c>
      <c r="M128" s="479">
        <v>52</v>
      </c>
      <c r="N128" s="480">
        <f>IF(Tabela1154[[#This Row],[INSCRITOS - Escola de Inovadores - 2°Semestre 2024]]&lt;Tabela1154[[#This Row],[Linha de Base (7,5%) 2°Semestre]], 0,1)</f>
        <v>1</v>
      </c>
      <c r="O128" s="480">
        <f>IF(Tabela1154[[#This Row],[Taxa de Inscritos 2° Semestre 2024]]&gt;0,Tabela1154[[#This Row],[Taxa de Inscritos 2° Semestre 2024]]*0.6,0)</f>
        <v>0.6</v>
      </c>
      <c r="P128" s="479">
        <v>31</v>
      </c>
      <c r="Q128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0.73286052009456271</v>
      </c>
      <c r="R128" s="480">
        <f>IF(Tabela1154[[#This Row],[Percentual CONCLUINTES - Escola de Inovadores 2024 2°Semestre]]&gt;0,Tabela1154[[#This Row],[Percentual CONCLUINTES - Escola de Inovadores 2024 2°Semestre]]*0.4,0)</f>
        <v>0.29314420803782509</v>
      </c>
      <c r="S128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0.44657210401891256</v>
      </c>
      <c r="T128" s="481">
        <f t="shared" si="1"/>
        <v>0.5</v>
      </c>
    </row>
    <row r="129" spans="1:20">
      <c r="A129" s="472">
        <v>154</v>
      </c>
      <c r="B129" s="492" t="s">
        <v>178</v>
      </c>
      <c r="C129" s="473">
        <v>589</v>
      </c>
      <c r="D129" s="474">
        <f>Tabela1154[[#This Row],[MATRICULADOS 1° Semestre 2024]]*0.075</f>
        <v>44.174999999999997</v>
      </c>
      <c r="E129" s="475">
        <v>42</v>
      </c>
      <c r="F129" s="476">
        <f>IF(Tabela1154[[#This Row],[INSCRITOS - Escola de Inovadores - 1° Semestre 2024]]&lt;Tabela1154[[#This Row],[Linha de Base (7,5%) 1°Semestre]],0,1)</f>
        <v>0</v>
      </c>
      <c r="G129" s="477">
        <f>IF(Tabela1154[[#This Row],[Percentual INSCRITOS - Escola de Inovadores - 2024]]&gt;0,Tabela1154[[#This Row],[Percentual INSCRITOS - Escola de Inovadores - 2024]]*0.6,0)</f>
        <v>0</v>
      </c>
      <c r="H129" s="475">
        <v>37</v>
      </c>
      <c r="I129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29" s="476">
        <f>IF(Tabela1154[[#This Row],[X = Percentual de inscritos na escola de inovadores para o cumprimento de meta ( Peso 0,60)]]=0, 0, Tabela1154[[#This Row],[Percentual CONCLUINTES - Escola de Inovadores 2024]]*0.4)</f>
        <v>0</v>
      </c>
      <c r="K129" s="473">
        <v>330</v>
      </c>
      <c r="L129" s="478">
        <f>Tabela1154[[#This Row],[Matriculados 2°Semestre em Curso]]*0.075</f>
        <v>24.75</v>
      </c>
      <c r="M129" s="479">
        <v>0</v>
      </c>
      <c r="N129" s="480">
        <f>IF(Tabela1154[[#This Row],[INSCRITOS - Escola de Inovadores - 2°Semestre 2024]]&lt;Tabela1154[[#This Row],[Linha de Base (7,5%) 2°Semestre]], 0,1)</f>
        <v>0</v>
      </c>
      <c r="O129" s="480">
        <f>IF(Tabela1154[[#This Row],[Taxa de Inscritos 2° Semestre 2024]]&gt;0,Tabela1154[[#This Row],[Taxa de Inscritos 2° Semestre 2024]]*0.6,0)</f>
        <v>0</v>
      </c>
      <c r="P129" s="479">
        <v>0</v>
      </c>
      <c r="Q129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29" s="480">
        <f>IF(Tabela1154[[#This Row],[Percentual CONCLUINTES - Escola de Inovadores 2024 2°Semestre]]&gt;0,Tabela1154[[#This Row],[Percentual CONCLUINTES - Escola de Inovadores 2024 2°Semestre]]*0.4,0)</f>
        <v>0</v>
      </c>
      <c r="S129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29" s="481">
        <f t="shared" si="1"/>
        <v>0</v>
      </c>
    </row>
    <row r="130" spans="1:20">
      <c r="A130" s="472">
        <v>156</v>
      </c>
      <c r="B130" s="492" t="s">
        <v>9</v>
      </c>
      <c r="C130" s="473">
        <v>371</v>
      </c>
      <c r="D130" s="474">
        <f>Tabela1154[[#This Row],[MATRICULADOS 1° Semestre 2024]]*0.075</f>
        <v>27.824999999999999</v>
      </c>
      <c r="E130" s="475">
        <v>60</v>
      </c>
      <c r="F130" s="476">
        <f>IF(Tabela1154[[#This Row],[INSCRITOS - Escola de Inovadores - 1° Semestre 2024]]&lt;Tabela1154[[#This Row],[Linha de Base (7,5%) 1°Semestre]],0,1)</f>
        <v>1</v>
      </c>
      <c r="G130" s="477">
        <f>IF(Tabela1154[[#This Row],[Percentual INSCRITOS - Escola de Inovadores - 2024]]&gt;0,Tabela1154[[#This Row],[Percentual INSCRITOS - Escola de Inovadores - 2024]]*0.6,0)</f>
        <v>0.6</v>
      </c>
      <c r="H130" s="475">
        <v>26</v>
      </c>
      <c r="I130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0.93441150044923638</v>
      </c>
      <c r="J130" s="476">
        <f>IF(Tabela1154[[#This Row],[X = Percentual de inscritos na escola de inovadores para o cumprimento de meta ( Peso 0,60)]]=0, 0, Tabela1154[[#This Row],[Percentual CONCLUINTES - Escola de Inovadores 2024]]*0.4)</f>
        <v>0.37376460017969459</v>
      </c>
      <c r="K130" s="473">
        <v>642</v>
      </c>
      <c r="L130" s="478">
        <f>Tabela1154[[#This Row],[Matriculados 2°Semestre em Curso]]*0.075</f>
        <v>48.15</v>
      </c>
      <c r="M130" s="479">
        <v>43</v>
      </c>
      <c r="N130" s="480">
        <f>IF(Tabela1154[[#This Row],[INSCRITOS - Escola de Inovadores - 2°Semestre 2024]]&lt;Tabela1154[[#This Row],[Linha de Base (7,5%) 2°Semestre]], 0,1)</f>
        <v>0</v>
      </c>
      <c r="O130" s="480">
        <f>IF(Tabela1154[[#This Row],[Taxa de Inscritos 2° Semestre 2024]]&gt;0,Tabela1154[[#This Row],[Taxa de Inscritos 2° Semestre 2024]]*0.6,0)</f>
        <v>0</v>
      </c>
      <c r="P130" s="479">
        <v>0</v>
      </c>
      <c r="Q130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30" s="480">
        <f>IF(Tabela1154[[#This Row],[Percentual CONCLUINTES - Escola de Inovadores 2024 2°Semestre]]&gt;0,Tabela1154[[#This Row],[Percentual CONCLUINTES - Escola de Inovadores 2024 2°Semestre]]*0.4,0)</f>
        <v>0</v>
      </c>
      <c r="S130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0.48688230008984729</v>
      </c>
      <c r="T130" s="481">
        <f t="shared" si="1"/>
        <v>0.5</v>
      </c>
    </row>
    <row r="131" spans="1:20">
      <c r="A131" s="472">
        <v>158</v>
      </c>
      <c r="B131" s="492" t="s">
        <v>74</v>
      </c>
      <c r="C131" s="473">
        <v>640</v>
      </c>
      <c r="D131" s="474">
        <f>Tabela1154[[#This Row],[MATRICULADOS 1° Semestre 2024]]*0.075</f>
        <v>48</v>
      </c>
      <c r="E131" s="475">
        <v>66</v>
      </c>
      <c r="F131" s="476">
        <f>IF(Tabela1154[[#This Row],[INSCRITOS - Escola de Inovadores - 1° Semestre 2024]]&lt;Tabela1154[[#This Row],[Linha de Base (7,5%) 1°Semestre]],0,1)</f>
        <v>1</v>
      </c>
      <c r="G131" s="477">
        <f>IF(Tabela1154[[#This Row],[Percentual INSCRITOS - Escola de Inovadores - 2024]]&gt;0,Tabela1154[[#This Row],[Percentual INSCRITOS - Escola de Inovadores - 2024]]*0.6,0)</f>
        <v>0.6</v>
      </c>
      <c r="H131" s="475">
        <v>19</v>
      </c>
      <c r="I131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0.39583333333333331</v>
      </c>
      <c r="J131" s="476">
        <f>IF(Tabela1154[[#This Row],[X = Percentual de inscritos na escola de inovadores para o cumprimento de meta ( Peso 0,60)]]=0, 0, Tabela1154[[#This Row],[Percentual CONCLUINTES - Escola de Inovadores 2024]]*0.4)</f>
        <v>0.15833333333333333</v>
      </c>
      <c r="K131" s="473">
        <v>1093</v>
      </c>
      <c r="L131" s="478">
        <f>Tabela1154[[#This Row],[Matriculados 2°Semestre em Curso]]*0.075</f>
        <v>81.974999999999994</v>
      </c>
      <c r="M131" s="479">
        <v>54</v>
      </c>
      <c r="N131" s="480">
        <f>IF(Tabela1154[[#This Row],[INSCRITOS - Escola de Inovadores - 2°Semestre 2024]]&lt;Tabela1154[[#This Row],[Linha de Base (7,5%) 2°Semestre]], 0,1)</f>
        <v>0</v>
      </c>
      <c r="O131" s="480">
        <f>IF(Tabela1154[[#This Row],[Taxa de Inscritos 2° Semestre 2024]]&gt;0,Tabela1154[[#This Row],[Taxa de Inscritos 2° Semestre 2024]]*0.6,0)</f>
        <v>0</v>
      </c>
      <c r="P131" s="479">
        <v>19</v>
      </c>
      <c r="Q131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31" s="480">
        <f>IF(Tabela1154[[#This Row],[Percentual CONCLUINTES - Escola de Inovadores 2024 2°Semestre]]&gt;0,Tabela1154[[#This Row],[Percentual CONCLUINTES - Escola de Inovadores 2024 2°Semestre]]*0.4,0)</f>
        <v>0</v>
      </c>
      <c r="S131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0.37916666666666665</v>
      </c>
      <c r="T131" s="481">
        <f t="shared" si="1"/>
        <v>0</v>
      </c>
    </row>
    <row r="132" spans="1:20">
      <c r="A132" s="472">
        <v>159</v>
      </c>
      <c r="B132" s="492" t="s">
        <v>86</v>
      </c>
      <c r="C132" s="473">
        <v>1098</v>
      </c>
      <c r="D132" s="474">
        <f>Tabela1154[[#This Row],[MATRICULADOS 1° Semestre 2024]]*0.075</f>
        <v>82.35</v>
      </c>
      <c r="E132" s="475">
        <v>78</v>
      </c>
      <c r="F132" s="476">
        <f>IF(Tabela1154[[#This Row],[INSCRITOS - Escola de Inovadores - 1° Semestre 2024]]&lt;Tabela1154[[#This Row],[Linha de Base (7,5%) 1°Semestre]],0,1)</f>
        <v>0</v>
      </c>
      <c r="G132" s="477">
        <f>IF(Tabela1154[[#This Row],[Percentual INSCRITOS - Escola de Inovadores - 2024]]&gt;0,Tabela1154[[#This Row],[Percentual INSCRITOS - Escola de Inovadores - 2024]]*0.6,0)</f>
        <v>0</v>
      </c>
      <c r="H132" s="475">
        <v>29</v>
      </c>
      <c r="I132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32" s="476">
        <f>IF(Tabela1154[[#This Row],[X = Percentual de inscritos na escola de inovadores para o cumprimento de meta ( Peso 0,60)]]=0, 0, Tabela1154[[#This Row],[Percentual CONCLUINTES - Escola de Inovadores 2024]]*0.4)</f>
        <v>0</v>
      </c>
      <c r="K132" s="473">
        <v>358</v>
      </c>
      <c r="L132" s="478">
        <f>Tabela1154[[#This Row],[Matriculados 2°Semestre em Curso]]*0.075</f>
        <v>26.849999999999998</v>
      </c>
      <c r="M132" s="479">
        <v>46</v>
      </c>
      <c r="N132" s="480">
        <f>IF(Tabela1154[[#This Row],[INSCRITOS - Escola de Inovadores - 2°Semestre 2024]]&lt;Tabela1154[[#This Row],[Linha de Base (7,5%) 2°Semestre]], 0,1)</f>
        <v>1</v>
      </c>
      <c r="O132" s="480">
        <f>IF(Tabela1154[[#This Row],[Taxa de Inscritos 2° Semestre 2024]]&gt;0,Tabela1154[[#This Row],[Taxa de Inscritos 2° Semestre 2024]]*0.6,0)</f>
        <v>0.6</v>
      </c>
      <c r="P132" s="479">
        <v>38</v>
      </c>
      <c r="Q132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1</v>
      </c>
      <c r="R132" s="480">
        <f>IF(Tabela1154[[#This Row],[Percentual CONCLUINTES - Escola de Inovadores 2024 2°Semestre]]&gt;0,Tabela1154[[#This Row],[Percentual CONCLUINTES - Escola de Inovadores 2024 2°Semestre]]*0.4,0)</f>
        <v>0.4</v>
      </c>
      <c r="S132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132" s="481">
        <f t="shared" si="1"/>
        <v>0.6</v>
      </c>
    </row>
    <row r="133" spans="1:20">
      <c r="A133" s="472">
        <v>161</v>
      </c>
      <c r="B133" s="492" t="s">
        <v>225</v>
      </c>
      <c r="C133" s="473">
        <v>373</v>
      </c>
      <c r="D133" s="474">
        <f>Tabela1154[[#This Row],[MATRICULADOS 1° Semestre 2024]]*0.075</f>
        <v>27.974999999999998</v>
      </c>
      <c r="E133" s="475">
        <v>22</v>
      </c>
      <c r="F133" s="476">
        <f>IF(Tabela1154[[#This Row],[INSCRITOS - Escola de Inovadores - 1° Semestre 2024]]&lt;Tabela1154[[#This Row],[Linha de Base (7,5%) 1°Semestre]],0,1)</f>
        <v>0</v>
      </c>
      <c r="G133" s="477">
        <f>IF(Tabela1154[[#This Row],[Percentual INSCRITOS - Escola de Inovadores - 2024]]&gt;0,Tabela1154[[#This Row],[Percentual INSCRITOS - Escola de Inovadores - 2024]]*0.6,0)</f>
        <v>0</v>
      </c>
      <c r="H133" s="475">
        <v>4</v>
      </c>
      <c r="I133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33" s="476">
        <f>IF(Tabela1154[[#This Row],[X = Percentual de inscritos na escola de inovadores para o cumprimento de meta ( Peso 0,60)]]=0, 0, Tabela1154[[#This Row],[Percentual CONCLUINTES - Escola de Inovadores 2024]]*0.4)</f>
        <v>0</v>
      </c>
      <c r="K133" s="473">
        <v>364</v>
      </c>
      <c r="L133" s="478">
        <f>Tabela1154[[#This Row],[Matriculados 2°Semestre em Curso]]*0.075</f>
        <v>27.3</v>
      </c>
      <c r="M133" s="479">
        <v>12</v>
      </c>
      <c r="N133" s="480">
        <f>IF(Tabela1154[[#This Row],[INSCRITOS - Escola de Inovadores - 2°Semestre 2024]]&lt;Tabela1154[[#This Row],[Linha de Base (7,5%) 2°Semestre]], 0,1)</f>
        <v>0</v>
      </c>
      <c r="O133" s="480">
        <f>IF(Tabela1154[[#This Row],[Taxa de Inscritos 2° Semestre 2024]]&gt;0,Tabela1154[[#This Row],[Taxa de Inscritos 2° Semestre 2024]]*0.6,0)</f>
        <v>0</v>
      </c>
      <c r="P133" s="479">
        <v>0</v>
      </c>
      <c r="Q133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33" s="480">
        <f>IF(Tabela1154[[#This Row],[Percentual CONCLUINTES - Escola de Inovadores 2024 2°Semestre]]&gt;0,Tabela1154[[#This Row],[Percentual CONCLUINTES - Escola de Inovadores 2024 2°Semestre]]*0.4,0)</f>
        <v>0</v>
      </c>
      <c r="S133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33" s="481">
        <f t="shared" ref="T133:T196" si="2">IF(S133&gt;=0.8,100%,IF(S133&gt;=0.7,80%,IF(S133&gt;=0.6,70%,IF(S133&gt;=0.5,60%,IF(S133&gt;=0.4,50%,IF(S133&lt;0.4,0%,))))))</f>
        <v>0</v>
      </c>
    </row>
    <row r="134" spans="1:20">
      <c r="A134" s="472">
        <v>162</v>
      </c>
      <c r="B134" s="492" t="s">
        <v>206</v>
      </c>
      <c r="C134" s="473">
        <v>368</v>
      </c>
      <c r="D134" s="474">
        <f>Tabela1154[[#This Row],[MATRICULADOS 1° Semestre 2024]]*0.075</f>
        <v>27.599999999999998</v>
      </c>
      <c r="E134" s="475">
        <v>59</v>
      </c>
      <c r="F134" s="476">
        <f>IF(Tabela1154[[#This Row],[INSCRITOS - Escola de Inovadores - 1° Semestre 2024]]&lt;Tabela1154[[#This Row],[Linha de Base (7,5%) 1°Semestre]],0,1)</f>
        <v>1</v>
      </c>
      <c r="G134" s="477">
        <f>IF(Tabela1154[[#This Row],[Percentual INSCRITOS - Escola de Inovadores - 2024]]&gt;0,Tabela1154[[#This Row],[Percentual INSCRITOS - Escola de Inovadores - 2024]]*0.6,0)</f>
        <v>0.6</v>
      </c>
      <c r="H134" s="475">
        <v>15</v>
      </c>
      <c r="I134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0.5434782608695653</v>
      </c>
      <c r="J134" s="476">
        <f>IF(Tabela1154[[#This Row],[X = Percentual de inscritos na escola de inovadores para o cumprimento de meta ( Peso 0,60)]]=0, 0, Tabela1154[[#This Row],[Percentual CONCLUINTES - Escola de Inovadores 2024]]*0.4)</f>
        <v>0.21739130434782614</v>
      </c>
      <c r="K134" s="473">
        <v>356</v>
      </c>
      <c r="L134" s="478">
        <f>Tabela1154[[#This Row],[Matriculados 2°Semestre em Curso]]*0.075</f>
        <v>26.7</v>
      </c>
      <c r="M134" s="479">
        <v>18</v>
      </c>
      <c r="N134" s="480">
        <f>IF(Tabela1154[[#This Row],[INSCRITOS - Escola de Inovadores - 2°Semestre 2024]]&lt;Tabela1154[[#This Row],[Linha de Base (7,5%) 2°Semestre]], 0,1)</f>
        <v>0</v>
      </c>
      <c r="O134" s="480">
        <f>IF(Tabela1154[[#This Row],[Taxa de Inscritos 2° Semestre 2024]]&gt;0,Tabela1154[[#This Row],[Taxa de Inscritos 2° Semestre 2024]]*0.6,0)</f>
        <v>0</v>
      </c>
      <c r="P134" s="479">
        <v>11</v>
      </c>
      <c r="Q134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34" s="480">
        <f>IF(Tabela1154[[#This Row],[Percentual CONCLUINTES - Escola de Inovadores 2024 2°Semestre]]&gt;0,Tabela1154[[#This Row],[Percentual CONCLUINTES - Escola de Inovadores 2024 2°Semestre]]*0.4,0)</f>
        <v>0</v>
      </c>
      <c r="S134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0.40869565217391307</v>
      </c>
      <c r="T134" s="481">
        <f t="shared" si="2"/>
        <v>0.5</v>
      </c>
    </row>
    <row r="135" spans="1:20">
      <c r="A135" s="472">
        <v>164</v>
      </c>
      <c r="B135" s="492" t="s">
        <v>127</v>
      </c>
      <c r="C135" s="473">
        <v>437</v>
      </c>
      <c r="D135" s="474">
        <f>Tabela1154[[#This Row],[MATRICULADOS 1° Semestre 2024]]*0.075</f>
        <v>32.774999999999999</v>
      </c>
      <c r="E135" s="475">
        <v>70</v>
      </c>
      <c r="F135" s="476">
        <f>IF(Tabela1154[[#This Row],[INSCRITOS - Escola de Inovadores - 1° Semestre 2024]]&lt;Tabela1154[[#This Row],[Linha de Base (7,5%) 1°Semestre]],0,1)</f>
        <v>1</v>
      </c>
      <c r="G135" s="477">
        <f>IF(Tabela1154[[#This Row],[Percentual INSCRITOS - Escola de Inovadores - 2024]]&gt;0,Tabela1154[[#This Row],[Percentual INSCRITOS - Escola de Inovadores - 2024]]*0.6,0)</f>
        <v>0.6</v>
      </c>
      <c r="H135" s="475">
        <v>56</v>
      </c>
      <c r="I135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135" s="476">
        <f>IF(Tabela1154[[#This Row],[X = Percentual de inscritos na escola de inovadores para o cumprimento de meta ( Peso 0,60)]]=0, 0, Tabela1154[[#This Row],[Percentual CONCLUINTES - Escola de Inovadores 2024]]*0.4)</f>
        <v>0.4</v>
      </c>
      <c r="K135" s="473">
        <v>435</v>
      </c>
      <c r="L135" s="478">
        <f>Tabela1154[[#This Row],[Matriculados 2°Semestre em Curso]]*0.075</f>
        <v>32.625</v>
      </c>
      <c r="M135" s="479">
        <v>33</v>
      </c>
      <c r="N135" s="480">
        <f>IF(Tabela1154[[#This Row],[INSCRITOS - Escola de Inovadores - 2°Semestre 2024]]&lt;Tabela1154[[#This Row],[Linha de Base (7,5%) 2°Semestre]], 0,1)</f>
        <v>1</v>
      </c>
      <c r="O135" s="480">
        <f>IF(Tabela1154[[#This Row],[Taxa de Inscritos 2° Semestre 2024]]&gt;0,Tabela1154[[#This Row],[Taxa de Inscritos 2° Semestre 2024]]*0.6,0)</f>
        <v>0.6</v>
      </c>
      <c r="P135" s="479">
        <v>19</v>
      </c>
      <c r="Q135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0.58237547892720309</v>
      </c>
      <c r="R135" s="480">
        <f>IF(Tabela1154[[#This Row],[Percentual CONCLUINTES - Escola de Inovadores 2024 2°Semestre]]&gt;0,Tabela1154[[#This Row],[Percentual CONCLUINTES - Escola de Inovadores 2024 2°Semestre]]*0.4,0)</f>
        <v>0.23295019157088126</v>
      </c>
      <c r="S135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0.91647509578544062</v>
      </c>
      <c r="T135" s="481">
        <f t="shared" si="2"/>
        <v>1</v>
      </c>
    </row>
    <row r="136" spans="1:20">
      <c r="A136" s="472">
        <v>165</v>
      </c>
      <c r="B136" s="492" t="s">
        <v>16</v>
      </c>
      <c r="C136" s="473">
        <v>519</v>
      </c>
      <c r="D136" s="474">
        <f>Tabela1154[[#This Row],[MATRICULADOS 1° Semestre 2024]]*0.075</f>
        <v>38.924999999999997</v>
      </c>
      <c r="E136" s="475">
        <v>60</v>
      </c>
      <c r="F136" s="476">
        <f>IF(Tabela1154[[#This Row],[INSCRITOS - Escola de Inovadores - 1° Semestre 2024]]&lt;Tabela1154[[#This Row],[Linha de Base (7,5%) 1°Semestre]],0,1)</f>
        <v>1</v>
      </c>
      <c r="G136" s="477">
        <f>IF(Tabela1154[[#This Row],[Percentual INSCRITOS - Escola de Inovadores - 2024]]&gt;0,Tabela1154[[#This Row],[Percentual INSCRITOS - Escola de Inovadores - 2024]]*0.6,0)</f>
        <v>0.6</v>
      </c>
      <c r="H136" s="475">
        <v>54</v>
      </c>
      <c r="I136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136" s="476">
        <f>IF(Tabela1154[[#This Row],[X = Percentual de inscritos na escola de inovadores para o cumprimento de meta ( Peso 0,60)]]=0, 0, Tabela1154[[#This Row],[Percentual CONCLUINTES - Escola de Inovadores 2024]]*0.4)</f>
        <v>0.4</v>
      </c>
      <c r="K136" s="473">
        <v>852</v>
      </c>
      <c r="L136" s="478">
        <f>Tabela1154[[#This Row],[Matriculados 2°Semestre em Curso]]*0.075</f>
        <v>63.9</v>
      </c>
      <c r="M136" s="479">
        <v>2</v>
      </c>
      <c r="N136" s="480">
        <f>IF(Tabela1154[[#This Row],[INSCRITOS - Escola de Inovadores - 2°Semestre 2024]]&lt;Tabela1154[[#This Row],[Linha de Base (7,5%) 2°Semestre]], 0,1)</f>
        <v>0</v>
      </c>
      <c r="O136" s="480">
        <f>IF(Tabela1154[[#This Row],[Taxa de Inscritos 2° Semestre 2024]]&gt;0,Tabela1154[[#This Row],[Taxa de Inscritos 2° Semestre 2024]]*0.6,0)</f>
        <v>0</v>
      </c>
      <c r="P136" s="479">
        <v>0</v>
      </c>
      <c r="Q136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36" s="480">
        <f>IF(Tabela1154[[#This Row],[Percentual CONCLUINTES - Escola de Inovadores 2024 2°Semestre]]&gt;0,Tabela1154[[#This Row],[Percentual CONCLUINTES - Escola de Inovadores 2024 2°Semestre]]*0.4,0)</f>
        <v>0</v>
      </c>
      <c r="S136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136" s="481">
        <f t="shared" si="2"/>
        <v>0.6</v>
      </c>
    </row>
    <row r="137" spans="1:20">
      <c r="A137" s="472">
        <v>166</v>
      </c>
      <c r="B137" s="492" t="s">
        <v>72</v>
      </c>
      <c r="C137" s="473">
        <v>862</v>
      </c>
      <c r="D137" s="474">
        <f>Tabela1154[[#This Row],[MATRICULADOS 1° Semestre 2024]]*0.075</f>
        <v>64.649999999999991</v>
      </c>
      <c r="E137" s="475">
        <v>85</v>
      </c>
      <c r="F137" s="476">
        <f>IF(Tabela1154[[#This Row],[INSCRITOS - Escola de Inovadores - 1° Semestre 2024]]&lt;Tabela1154[[#This Row],[Linha de Base (7,5%) 1°Semestre]],0,1)</f>
        <v>1</v>
      </c>
      <c r="G137" s="477">
        <f>IF(Tabela1154[[#This Row],[Percentual INSCRITOS - Escola de Inovadores - 2024]]&gt;0,Tabela1154[[#This Row],[Percentual INSCRITOS - Escola de Inovadores - 2024]]*0.6,0)</f>
        <v>0.6</v>
      </c>
      <c r="H137" s="475">
        <v>2</v>
      </c>
      <c r="I137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3.0935808197989176E-2</v>
      </c>
      <c r="J137" s="476">
        <f>IF(Tabela1154[[#This Row],[X = Percentual de inscritos na escola de inovadores para o cumprimento de meta ( Peso 0,60)]]=0, 0, Tabela1154[[#This Row],[Percentual CONCLUINTES - Escola de Inovadores 2024]]*0.4)</f>
        <v>1.2374323279195671E-2</v>
      </c>
      <c r="K137" s="473">
        <v>899</v>
      </c>
      <c r="L137" s="478">
        <f>Tabela1154[[#This Row],[Matriculados 2°Semestre em Curso]]*0.075</f>
        <v>67.424999999999997</v>
      </c>
      <c r="M137" s="479">
        <v>10</v>
      </c>
      <c r="N137" s="480">
        <f>IF(Tabela1154[[#This Row],[INSCRITOS - Escola de Inovadores - 2°Semestre 2024]]&lt;Tabela1154[[#This Row],[Linha de Base (7,5%) 2°Semestre]], 0,1)</f>
        <v>0</v>
      </c>
      <c r="O137" s="480">
        <f>IF(Tabela1154[[#This Row],[Taxa de Inscritos 2° Semestre 2024]]&gt;0,Tabela1154[[#This Row],[Taxa de Inscritos 2° Semestre 2024]]*0.6,0)</f>
        <v>0</v>
      </c>
      <c r="P137" s="479">
        <v>0</v>
      </c>
      <c r="Q137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37" s="480">
        <f>IF(Tabela1154[[#This Row],[Percentual CONCLUINTES - Escola de Inovadores 2024 2°Semestre]]&gt;0,Tabela1154[[#This Row],[Percentual CONCLUINTES - Escola de Inovadores 2024 2°Semestre]]*0.4,0)</f>
        <v>0</v>
      </c>
      <c r="S137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0.3061871616395978</v>
      </c>
      <c r="T137" s="481">
        <f t="shared" si="2"/>
        <v>0</v>
      </c>
    </row>
    <row r="138" spans="1:20">
      <c r="A138" s="472">
        <v>169</v>
      </c>
      <c r="B138" s="492" t="s">
        <v>108</v>
      </c>
      <c r="C138" s="473">
        <v>939</v>
      </c>
      <c r="D138" s="474">
        <f>Tabela1154[[#This Row],[MATRICULADOS 1° Semestre 2024]]*0.075</f>
        <v>70.424999999999997</v>
      </c>
      <c r="E138" s="475">
        <v>192</v>
      </c>
      <c r="F138" s="476">
        <f>IF(Tabela1154[[#This Row],[INSCRITOS - Escola de Inovadores - 1° Semestre 2024]]&lt;Tabela1154[[#This Row],[Linha de Base (7,5%) 1°Semestre]],0,1)</f>
        <v>1</v>
      </c>
      <c r="G138" s="477">
        <f>IF(Tabela1154[[#This Row],[Percentual INSCRITOS - Escola de Inovadores - 2024]]&gt;0,Tabela1154[[#This Row],[Percentual INSCRITOS - Escola de Inovadores - 2024]]*0.6,0)</f>
        <v>0.6</v>
      </c>
      <c r="H138" s="475">
        <v>1</v>
      </c>
      <c r="I138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1.4199503017394392E-2</v>
      </c>
      <c r="J138" s="476">
        <f>IF(Tabela1154[[#This Row],[X = Percentual de inscritos na escola de inovadores para o cumprimento de meta ( Peso 0,60)]]=0, 0, Tabela1154[[#This Row],[Percentual CONCLUINTES - Escola de Inovadores 2024]]*0.4)</f>
        <v>5.6798012069577573E-3</v>
      </c>
      <c r="K138" s="473">
        <v>862</v>
      </c>
      <c r="L138" s="478">
        <f>Tabela1154[[#This Row],[Matriculados 2°Semestre em Curso]]*0.075</f>
        <v>64.649999999999991</v>
      </c>
      <c r="M138" s="479">
        <v>108</v>
      </c>
      <c r="N138" s="480">
        <f>IF(Tabela1154[[#This Row],[INSCRITOS - Escola de Inovadores - 2°Semestre 2024]]&lt;Tabela1154[[#This Row],[Linha de Base (7,5%) 2°Semestre]], 0,1)</f>
        <v>1</v>
      </c>
      <c r="O138" s="480">
        <f>IF(Tabela1154[[#This Row],[Taxa de Inscritos 2° Semestre 2024]]&gt;0,Tabela1154[[#This Row],[Taxa de Inscritos 2° Semestre 2024]]*0.6,0)</f>
        <v>0.6</v>
      </c>
      <c r="P138" s="479">
        <v>6</v>
      </c>
      <c r="Q138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9.2807424593967527E-2</v>
      </c>
      <c r="R138" s="480">
        <f>IF(Tabela1154[[#This Row],[Percentual CONCLUINTES - Escola de Inovadores 2024 2°Semestre]]&gt;0,Tabela1154[[#This Row],[Percentual CONCLUINTES - Escola de Inovadores 2024 2°Semestre]]*0.4,0)</f>
        <v>3.7122969837587012E-2</v>
      </c>
      <c r="S138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0.62140138552227231</v>
      </c>
      <c r="T138" s="481">
        <f t="shared" si="2"/>
        <v>0.7</v>
      </c>
    </row>
    <row r="139" spans="1:20">
      <c r="A139" s="472">
        <v>170</v>
      </c>
      <c r="B139" s="492" t="s">
        <v>18</v>
      </c>
      <c r="C139" s="473">
        <v>906</v>
      </c>
      <c r="D139" s="474">
        <f>Tabela1154[[#This Row],[MATRICULADOS 1° Semestre 2024]]*0.075</f>
        <v>67.95</v>
      </c>
      <c r="E139" s="475">
        <v>66</v>
      </c>
      <c r="F139" s="476">
        <f>IF(Tabela1154[[#This Row],[INSCRITOS - Escola de Inovadores - 1° Semestre 2024]]&lt;Tabela1154[[#This Row],[Linha de Base (7,5%) 1°Semestre]],0,1)</f>
        <v>0</v>
      </c>
      <c r="G139" s="477">
        <f>IF(Tabela1154[[#This Row],[Percentual INSCRITOS - Escola de Inovadores - 2024]]&gt;0,Tabela1154[[#This Row],[Percentual INSCRITOS - Escola de Inovadores - 2024]]*0.6,0)</f>
        <v>0</v>
      </c>
      <c r="H139" s="475">
        <v>6</v>
      </c>
      <c r="I139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39" s="476">
        <f>IF(Tabela1154[[#This Row],[X = Percentual de inscritos na escola de inovadores para o cumprimento de meta ( Peso 0,60)]]=0, 0, Tabela1154[[#This Row],[Percentual CONCLUINTES - Escola de Inovadores 2024]]*0.4)</f>
        <v>0</v>
      </c>
      <c r="K139" s="473">
        <v>986</v>
      </c>
      <c r="L139" s="478">
        <f>Tabela1154[[#This Row],[Matriculados 2°Semestre em Curso]]*0.075</f>
        <v>73.95</v>
      </c>
      <c r="M139" s="479">
        <v>9</v>
      </c>
      <c r="N139" s="480">
        <f>IF(Tabela1154[[#This Row],[INSCRITOS - Escola de Inovadores - 2°Semestre 2024]]&lt;Tabela1154[[#This Row],[Linha de Base (7,5%) 2°Semestre]], 0,1)</f>
        <v>0</v>
      </c>
      <c r="O139" s="480">
        <f>IF(Tabela1154[[#This Row],[Taxa de Inscritos 2° Semestre 2024]]&gt;0,Tabela1154[[#This Row],[Taxa de Inscritos 2° Semestre 2024]]*0.6,0)</f>
        <v>0</v>
      </c>
      <c r="P139" s="479">
        <v>2</v>
      </c>
      <c r="Q139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39" s="480">
        <f>IF(Tabela1154[[#This Row],[Percentual CONCLUINTES - Escola de Inovadores 2024 2°Semestre]]&gt;0,Tabela1154[[#This Row],[Percentual CONCLUINTES - Escola de Inovadores 2024 2°Semestre]]*0.4,0)</f>
        <v>0</v>
      </c>
      <c r="S139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39" s="481">
        <f t="shared" si="2"/>
        <v>0</v>
      </c>
    </row>
    <row r="140" spans="1:20">
      <c r="A140" s="472">
        <v>172</v>
      </c>
      <c r="B140" s="492" t="s">
        <v>87</v>
      </c>
      <c r="C140" s="473">
        <v>1024</v>
      </c>
      <c r="D140" s="474">
        <f>Tabela1154[[#This Row],[MATRICULADOS 1° Semestre 2024]]*0.075</f>
        <v>76.8</v>
      </c>
      <c r="E140" s="475">
        <v>38</v>
      </c>
      <c r="F140" s="476">
        <f>IF(Tabela1154[[#This Row],[INSCRITOS - Escola de Inovadores - 1° Semestre 2024]]&lt;Tabela1154[[#This Row],[Linha de Base (7,5%) 1°Semestre]],0,1)</f>
        <v>0</v>
      </c>
      <c r="G140" s="477">
        <f>IF(Tabela1154[[#This Row],[Percentual INSCRITOS - Escola de Inovadores - 2024]]&gt;0,Tabela1154[[#This Row],[Percentual INSCRITOS - Escola de Inovadores - 2024]]*0.6,0)</f>
        <v>0</v>
      </c>
      <c r="H140" s="475">
        <v>3</v>
      </c>
      <c r="I140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40" s="476">
        <f>IF(Tabela1154[[#This Row],[X = Percentual de inscritos na escola de inovadores para o cumprimento de meta ( Peso 0,60)]]=0, 0, Tabela1154[[#This Row],[Percentual CONCLUINTES - Escola de Inovadores 2024]]*0.4)</f>
        <v>0</v>
      </c>
      <c r="K140" s="473">
        <v>480</v>
      </c>
      <c r="L140" s="478">
        <f>Tabela1154[[#This Row],[Matriculados 2°Semestre em Curso]]*0.075</f>
        <v>36</v>
      </c>
      <c r="M140" s="479">
        <v>8</v>
      </c>
      <c r="N140" s="480">
        <f>IF(Tabela1154[[#This Row],[INSCRITOS - Escola de Inovadores - 2°Semestre 2024]]&lt;Tabela1154[[#This Row],[Linha de Base (7,5%) 2°Semestre]], 0,1)</f>
        <v>0</v>
      </c>
      <c r="O140" s="480">
        <f>IF(Tabela1154[[#This Row],[Taxa de Inscritos 2° Semestre 2024]]&gt;0,Tabela1154[[#This Row],[Taxa de Inscritos 2° Semestre 2024]]*0.6,0)</f>
        <v>0</v>
      </c>
      <c r="P140" s="479">
        <v>0</v>
      </c>
      <c r="Q140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40" s="480">
        <f>IF(Tabela1154[[#This Row],[Percentual CONCLUINTES - Escola de Inovadores 2024 2°Semestre]]&gt;0,Tabela1154[[#This Row],[Percentual CONCLUINTES - Escola de Inovadores 2024 2°Semestre]]*0.4,0)</f>
        <v>0</v>
      </c>
      <c r="S140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40" s="481">
        <f t="shared" si="2"/>
        <v>0</v>
      </c>
    </row>
    <row r="141" spans="1:20">
      <c r="A141" s="472">
        <v>179</v>
      </c>
      <c r="B141" s="492" t="s">
        <v>186</v>
      </c>
      <c r="C141" s="473">
        <v>570</v>
      </c>
      <c r="D141" s="474">
        <f>Tabela1154[[#This Row],[MATRICULADOS 1° Semestre 2024]]*0.075</f>
        <v>42.75</v>
      </c>
      <c r="E141" s="475">
        <v>96</v>
      </c>
      <c r="F141" s="476">
        <f>IF(Tabela1154[[#This Row],[INSCRITOS - Escola de Inovadores - 1° Semestre 2024]]&lt;Tabela1154[[#This Row],[Linha de Base (7,5%) 1°Semestre]],0,1)</f>
        <v>1</v>
      </c>
      <c r="G141" s="477">
        <f>IF(Tabela1154[[#This Row],[Percentual INSCRITOS - Escola de Inovadores - 2024]]&gt;0,Tabela1154[[#This Row],[Percentual INSCRITOS - Escola de Inovadores - 2024]]*0.6,0)</f>
        <v>0.6</v>
      </c>
      <c r="H141" s="475">
        <v>88</v>
      </c>
      <c r="I141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141" s="476">
        <f>IF(Tabela1154[[#This Row],[X = Percentual de inscritos na escola de inovadores para o cumprimento de meta ( Peso 0,60)]]=0, 0, Tabela1154[[#This Row],[Percentual CONCLUINTES - Escola de Inovadores 2024]]*0.4)</f>
        <v>0.4</v>
      </c>
      <c r="K141" s="473">
        <v>788</v>
      </c>
      <c r="L141" s="478">
        <f>Tabela1154[[#This Row],[Matriculados 2°Semestre em Curso]]*0.075</f>
        <v>59.099999999999994</v>
      </c>
      <c r="M141" s="479">
        <v>44</v>
      </c>
      <c r="N141" s="480">
        <f>IF(Tabela1154[[#This Row],[INSCRITOS - Escola de Inovadores - 2°Semestre 2024]]&lt;Tabela1154[[#This Row],[Linha de Base (7,5%) 2°Semestre]], 0,1)</f>
        <v>0</v>
      </c>
      <c r="O141" s="480">
        <f>IF(Tabela1154[[#This Row],[Taxa de Inscritos 2° Semestre 2024]]&gt;0,Tabela1154[[#This Row],[Taxa de Inscritos 2° Semestre 2024]]*0.6,0)</f>
        <v>0</v>
      </c>
      <c r="P141" s="479">
        <v>26</v>
      </c>
      <c r="Q141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41" s="480">
        <f>IF(Tabela1154[[#This Row],[Percentual CONCLUINTES - Escola de Inovadores 2024 2°Semestre]]&gt;0,Tabela1154[[#This Row],[Percentual CONCLUINTES - Escola de Inovadores 2024 2°Semestre]]*0.4,0)</f>
        <v>0</v>
      </c>
      <c r="S141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141" s="481">
        <f t="shared" si="2"/>
        <v>0.6</v>
      </c>
    </row>
    <row r="142" spans="1:20">
      <c r="A142" s="472">
        <v>180</v>
      </c>
      <c r="B142" s="492" t="s">
        <v>167</v>
      </c>
      <c r="C142" s="473">
        <v>842</v>
      </c>
      <c r="D142" s="474">
        <f>Tabela1154[[#This Row],[MATRICULADOS 1° Semestre 2024]]*0.075</f>
        <v>63.15</v>
      </c>
      <c r="E142" s="475">
        <v>40</v>
      </c>
      <c r="F142" s="476">
        <f>IF(Tabela1154[[#This Row],[INSCRITOS - Escola de Inovadores - 1° Semestre 2024]]&lt;Tabela1154[[#This Row],[Linha de Base (7,5%) 1°Semestre]],0,1)</f>
        <v>0</v>
      </c>
      <c r="G142" s="477">
        <f>IF(Tabela1154[[#This Row],[Percentual INSCRITOS - Escola de Inovadores - 2024]]&gt;0,Tabela1154[[#This Row],[Percentual INSCRITOS - Escola de Inovadores - 2024]]*0.6,0)</f>
        <v>0</v>
      </c>
      <c r="H142" s="475">
        <v>25</v>
      </c>
      <c r="I142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42" s="476">
        <f>IF(Tabela1154[[#This Row],[X = Percentual de inscritos na escola de inovadores para o cumprimento de meta ( Peso 0,60)]]=0, 0, Tabela1154[[#This Row],[Percentual CONCLUINTES - Escola de Inovadores 2024]]*0.4)</f>
        <v>0</v>
      </c>
      <c r="K142" s="473">
        <v>663</v>
      </c>
      <c r="L142" s="478">
        <f>Tabela1154[[#This Row],[Matriculados 2°Semestre em Curso]]*0.075</f>
        <v>49.725000000000001</v>
      </c>
      <c r="M142" s="479">
        <v>41</v>
      </c>
      <c r="N142" s="480">
        <f>IF(Tabela1154[[#This Row],[INSCRITOS - Escola de Inovadores - 2°Semestre 2024]]&lt;Tabela1154[[#This Row],[Linha de Base (7,5%) 2°Semestre]], 0,1)</f>
        <v>0</v>
      </c>
      <c r="O142" s="480">
        <f>IF(Tabela1154[[#This Row],[Taxa de Inscritos 2° Semestre 2024]]&gt;0,Tabela1154[[#This Row],[Taxa de Inscritos 2° Semestre 2024]]*0.6,0)</f>
        <v>0</v>
      </c>
      <c r="P142" s="479">
        <v>19</v>
      </c>
      <c r="Q142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42" s="480">
        <f>IF(Tabela1154[[#This Row],[Percentual CONCLUINTES - Escola de Inovadores 2024 2°Semestre]]&gt;0,Tabela1154[[#This Row],[Percentual CONCLUINTES - Escola de Inovadores 2024 2°Semestre]]*0.4,0)</f>
        <v>0</v>
      </c>
      <c r="S142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42" s="481">
        <f t="shared" si="2"/>
        <v>0</v>
      </c>
    </row>
    <row r="143" spans="1:20">
      <c r="A143" s="472">
        <v>181</v>
      </c>
      <c r="B143" s="492" t="s">
        <v>89</v>
      </c>
      <c r="C143" s="473">
        <v>654</v>
      </c>
      <c r="D143" s="474">
        <f>Tabela1154[[#This Row],[MATRICULADOS 1° Semestre 2024]]*0.075</f>
        <v>49.05</v>
      </c>
      <c r="E143" s="475">
        <v>39</v>
      </c>
      <c r="F143" s="476">
        <f>IF(Tabela1154[[#This Row],[INSCRITOS - Escola de Inovadores - 1° Semestre 2024]]&lt;Tabela1154[[#This Row],[Linha de Base (7,5%) 1°Semestre]],0,1)</f>
        <v>0</v>
      </c>
      <c r="G143" s="477">
        <f>IF(Tabela1154[[#This Row],[Percentual INSCRITOS - Escola de Inovadores - 2024]]&gt;0,Tabela1154[[#This Row],[Percentual INSCRITOS - Escola de Inovadores - 2024]]*0.6,0)</f>
        <v>0</v>
      </c>
      <c r="H143" s="475">
        <v>2</v>
      </c>
      <c r="I143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43" s="476">
        <f>IF(Tabela1154[[#This Row],[X = Percentual de inscritos na escola de inovadores para o cumprimento de meta ( Peso 0,60)]]=0, 0, Tabela1154[[#This Row],[Percentual CONCLUINTES - Escola de Inovadores 2024]]*0.4)</f>
        <v>0</v>
      </c>
      <c r="K143" s="473">
        <v>601</v>
      </c>
      <c r="L143" s="478">
        <f>Tabela1154[[#This Row],[Matriculados 2°Semestre em Curso]]*0.075</f>
        <v>45.074999999999996</v>
      </c>
      <c r="M143" s="479">
        <v>88</v>
      </c>
      <c r="N143" s="480">
        <f>IF(Tabela1154[[#This Row],[INSCRITOS - Escola de Inovadores - 2°Semestre 2024]]&lt;Tabela1154[[#This Row],[Linha de Base (7,5%) 2°Semestre]], 0,1)</f>
        <v>1</v>
      </c>
      <c r="O143" s="480">
        <f>IF(Tabela1154[[#This Row],[Taxa de Inscritos 2° Semestre 2024]]&gt;0,Tabela1154[[#This Row],[Taxa de Inscritos 2° Semestre 2024]]*0.6,0)</f>
        <v>0.6</v>
      </c>
      <c r="P143" s="479">
        <v>5</v>
      </c>
      <c r="Q143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0.11092623405435387</v>
      </c>
      <c r="R143" s="480">
        <f>IF(Tabela1154[[#This Row],[Percentual CONCLUINTES - Escola de Inovadores 2024 2°Semestre]]&gt;0,Tabela1154[[#This Row],[Percentual CONCLUINTES - Escola de Inovadores 2024 2°Semestre]]*0.4,0)</f>
        <v>4.4370493621741551E-2</v>
      </c>
      <c r="S143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0.32218524681087074</v>
      </c>
      <c r="T143" s="481">
        <f t="shared" si="2"/>
        <v>0</v>
      </c>
    </row>
    <row r="144" spans="1:20">
      <c r="A144" s="472">
        <v>185</v>
      </c>
      <c r="B144" s="492" t="s">
        <v>162</v>
      </c>
      <c r="C144" s="473">
        <v>618</v>
      </c>
      <c r="D144" s="474">
        <f>Tabela1154[[#This Row],[MATRICULADOS 1° Semestre 2024]]*0.075</f>
        <v>46.35</v>
      </c>
      <c r="E144" s="475">
        <v>8</v>
      </c>
      <c r="F144" s="476">
        <f>IF(Tabela1154[[#This Row],[INSCRITOS - Escola de Inovadores - 1° Semestre 2024]]&lt;Tabela1154[[#This Row],[Linha de Base (7,5%) 1°Semestre]],0,1)</f>
        <v>0</v>
      </c>
      <c r="G144" s="477">
        <f>IF(Tabela1154[[#This Row],[Percentual INSCRITOS - Escola de Inovadores - 2024]]&gt;0,Tabela1154[[#This Row],[Percentual INSCRITOS - Escola de Inovadores - 2024]]*0.6,0)</f>
        <v>0</v>
      </c>
      <c r="H144" s="475">
        <v>0</v>
      </c>
      <c r="I144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44" s="476">
        <f>IF(Tabela1154[[#This Row],[X = Percentual de inscritos na escola de inovadores para o cumprimento de meta ( Peso 0,60)]]=0, 0, Tabela1154[[#This Row],[Percentual CONCLUINTES - Escola de Inovadores 2024]]*0.4)</f>
        <v>0</v>
      </c>
      <c r="K144" s="473">
        <v>930</v>
      </c>
      <c r="L144" s="478">
        <f>Tabela1154[[#This Row],[Matriculados 2°Semestre em Curso]]*0.075</f>
        <v>69.75</v>
      </c>
      <c r="M144" s="479">
        <v>58</v>
      </c>
      <c r="N144" s="480">
        <f>IF(Tabela1154[[#This Row],[INSCRITOS - Escola de Inovadores - 2°Semestre 2024]]&lt;Tabela1154[[#This Row],[Linha de Base (7,5%) 2°Semestre]], 0,1)</f>
        <v>0</v>
      </c>
      <c r="O144" s="480">
        <f>IF(Tabela1154[[#This Row],[Taxa de Inscritos 2° Semestre 2024]]&gt;0,Tabela1154[[#This Row],[Taxa de Inscritos 2° Semestre 2024]]*0.6,0)</f>
        <v>0</v>
      </c>
      <c r="P144" s="479">
        <v>43</v>
      </c>
      <c r="Q144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44" s="480">
        <f>IF(Tabela1154[[#This Row],[Percentual CONCLUINTES - Escola de Inovadores 2024 2°Semestre]]&gt;0,Tabela1154[[#This Row],[Percentual CONCLUINTES - Escola de Inovadores 2024 2°Semestre]]*0.4,0)</f>
        <v>0</v>
      </c>
      <c r="S144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44" s="481">
        <f t="shared" si="2"/>
        <v>0</v>
      </c>
    </row>
    <row r="145" spans="1:20">
      <c r="A145" s="472">
        <v>186</v>
      </c>
      <c r="B145" s="492" t="s">
        <v>97</v>
      </c>
      <c r="C145" s="473">
        <v>1004</v>
      </c>
      <c r="D145" s="474">
        <f>Tabela1154[[#This Row],[MATRICULADOS 1° Semestre 2024]]*0.075</f>
        <v>75.3</v>
      </c>
      <c r="E145" s="475">
        <v>140</v>
      </c>
      <c r="F145" s="476">
        <f>IF(Tabela1154[[#This Row],[INSCRITOS - Escola de Inovadores - 1° Semestre 2024]]&lt;Tabela1154[[#This Row],[Linha de Base (7,5%) 1°Semestre]],0,1)</f>
        <v>1</v>
      </c>
      <c r="G145" s="477">
        <f>IF(Tabela1154[[#This Row],[Percentual INSCRITOS - Escola de Inovadores - 2024]]&gt;0,Tabela1154[[#This Row],[Percentual INSCRITOS - Escola de Inovadores - 2024]]*0.6,0)</f>
        <v>0.6</v>
      </c>
      <c r="H145" s="475">
        <v>62</v>
      </c>
      <c r="I145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0.82337317397078358</v>
      </c>
      <c r="J145" s="476">
        <f>IF(Tabela1154[[#This Row],[X = Percentual de inscritos na escola de inovadores para o cumprimento de meta ( Peso 0,60)]]=0, 0, Tabela1154[[#This Row],[Percentual CONCLUINTES - Escola de Inovadores 2024]]*0.4)</f>
        <v>0.32934926958831345</v>
      </c>
      <c r="K145" s="473">
        <v>635</v>
      </c>
      <c r="L145" s="478">
        <f>Tabela1154[[#This Row],[Matriculados 2°Semestre em Curso]]*0.075</f>
        <v>47.625</v>
      </c>
      <c r="M145" s="479">
        <v>61</v>
      </c>
      <c r="N145" s="480">
        <f>IF(Tabela1154[[#This Row],[INSCRITOS - Escola de Inovadores - 2°Semestre 2024]]&lt;Tabela1154[[#This Row],[Linha de Base (7,5%) 2°Semestre]], 0,1)</f>
        <v>1</v>
      </c>
      <c r="O145" s="480">
        <f>IF(Tabela1154[[#This Row],[Taxa de Inscritos 2° Semestre 2024]]&gt;0,Tabela1154[[#This Row],[Taxa de Inscritos 2° Semestre 2024]]*0.6,0)</f>
        <v>0.6</v>
      </c>
      <c r="P145" s="479">
        <v>10</v>
      </c>
      <c r="Q145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0.20997375328083989</v>
      </c>
      <c r="R145" s="480">
        <f>IF(Tabela1154[[#This Row],[Percentual CONCLUINTES - Escola de Inovadores 2024 2°Semestre]]&gt;0,Tabela1154[[#This Row],[Percentual CONCLUINTES - Escola de Inovadores 2024 2°Semestre]]*0.4,0)</f>
        <v>8.3989501312335957E-2</v>
      </c>
      <c r="S145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0.80666938545032463</v>
      </c>
      <c r="T145" s="481">
        <f t="shared" si="2"/>
        <v>1</v>
      </c>
    </row>
    <row r="146" spans="1:20">
      <c r="A146" s="472">
        <v>187</v>
      </c>
      <c r="B146" s="492" t="s">
        <v>51</v>
      </c>
      <c r="C146" s="473">
        <v>671</v>
      </c>
      <c r="D146" s="474">
        <f>Tabela1154[[#This Row],[MATRICULADOS 1° Semestre 2024]]*0.075</f>
        <v>50.324999999999996</v>
      </c>
      <c r="E146" s="475">
        <v>136</v>
      </c>
      <c r="F146" s="476">
        <f>IF(Tabela1154[[#This Row],[INSCRITOS - Escola de Inovadores - 1° Semestre 2024]]&lt;Tabela1154[[#This Row],[Linha de Base (7,5%) 1°Semestre]],0,1)</f>
        <v>1</v>
      </c>
      <c r="G146" s="477">
        <f>IF(Tabela1154[[#This Row],[Percentual INSCRITOS - Escola de Inovadores - 2024]]&gt;0,Tabela1154[[#This Row],[Percentual INSCRITOS - Escola de Inovadores - 2024]]*0.6,0)</f>
        <v>0.6</v>
      </c>
      <c r="H146" s="475">
        <v>56</v>
      </c>
      <c r="I146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146" s="476">
        <f>IF(Tabela1154[[#This Row],[X = Percentual de inscritos na escola de inovadores para o cumprimento de meta ( Peso 0,60)]]=0, 0, Tabela1154[[#This Row],[Percentual CONCLUINTES - Escola de Inovadores 2024]]*0.4)</f>
        <v>0.4</v>
      </c>
      <c r="K146" s="473">
        <v>344</v>
      </c>
      <c r="L146" s="478">
        <f>Tabela1154[[#This Row],[Matriculados 2°Semestre em Curso]]*0.075</f>
        <v>25.8</v>
      </c>
      <c r="M146" s="479">
        <v>37</v>
      </c>
      <c r="N146" s="480">
        <f>IF(Tabela1154[[#This Row],[INSCRITOS - Escola de Inovadores - 2°Semestre 2024]]&lt;Tabela1154[[#This Row],[Linha de Base (7,5%) 2°Semestre]], 0,1)</f>
        <v>1</v>
      </c>
      <c r="O146" s="480">
        <f>IF(Tabela1154[[#This Row],[Taxa de Inscritos 2° Semestre 2024]]&gt;0,Tabela1154[[#This Row],[Taxa de Inscritos 2° Semestre 2024]]*0.6,0)</f>
        <v>0.6</v>
      </c>
      <c r="P146" s="479">
        <v>1</v>
      </c>
      <c r="Q146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3.875968992248062E-2</v>
      </c>
      <c r="R146" s="480">
        <f>IF(Tabela1154[[#This Row],[Percentual CONCLUINTES - Escola de Inovadores 2024 2°Semestre]]&gt;0,Tabela1154[[#This Row],[Percentual CONCLUINTES - Escola de Inovadores 2024 2°Semestre]]*0.4,0)</f>
        <v>1.5503875968992248E-2</v>
      </c>
      <c r="S146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0.80775193798449618</v>
      </c>
      <c r="T146" s="481">
        <f t="shared" si="2"/>
        <v>1</v>
      </c>
    </row>
    <row r="147" spans="1:20">
      <c r="A147" s="472">
        <v>188</v>
      </c>
      <c r="B147" s="492" t="s">
        <v>7</v>
      </c>
      <c r="C147" s="473">
        <v>350</v>
      </c>
      <c r="D147" s="474">
        <f>Tabela1154[[#This Row],[MATRICULADOS 1° Semestre 2024]]*0.075</f>
        <v>26.25</v>
      </c>
      <c r="E147" s="475">
        <v>98</v>
      </c>
      <c r="F147" s="476">
        <f>IF(Tabela1154[[#This Row],[INSCRITOS - Escola de Inovadores - 1° Semestre 2024]]&lt;Tabela1154[[#This Row],[Linha de Base (7,5%) 1°Semestre]],0,1)</f>
        <v>1</v>
      </c>
      <c r="G147" s="477">
        <f>IF(Tabela1154[[#This Row],[Percentual INSCRITOS - Escola de Inovadores - 2024]]&gt;0,Tabela1154[[#This Row],[Percentual INSCRITOS - Escola de Inovadores - 2024]]*0.6,0)</f>
        <v>0.6</v>
      </c>
      <c r="H147" s="475">
        <v>84</v>
      </c>
      <c r="I147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147" s="476">
        <f>IF(Tabela1154[[#This Row],[X = Percentual de inscritos na escola de inovadores para o cumprimento de meta ( Peso 0,60)]]=0, 0, Tabela1154[[#This Row],[Percentual CONCLUINTES - Escola de Inovadores 2024]]*0.4)</f>
        <v>0.4</v>
      </c>
      <c r="K147" s="473">
        <v>1102</v>
      </c>
      <c r="L147" s="478">
        <f>Tabela1154[[#This Row],[Matriculados 2°Semestre em Curso]]*0.075</f>
        <v>82.649999999999991</v>
      </c>
      <c r="M147" s="479">
        <v>30</v>
      </c>
      <c r="N147" s="480">
        <f>IF(Tabela1154[[#This Row],[INSCRITOS - Escola de Inovadores - 2°Semestre 2024]]&lt;Tabela1154[[#This Row],[Linha de Base (7,5%) 2°Semestre]], 0,1)</f>
        <v>0</v>
      </c>
      <c r="O147" s="480">
        <f>IF(Tabela1154[[#This Row],[Taxa de Inscritos 2° Semestre 2024]]&gt;0,Tabela1154[[#This Row],[Taxa de Inscritos 2° Semestre 2024]]*0.6,0)</f>
        <v>0</v>
      </c>
      <c r="P147" s="479">
        <v>16</v>
      </c>
      <c r="Q147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47" s="480">
        <f>IF(Tabela1154[[#This Row],[Percentual CONCLUINTES - Escola de Inovadores 2024 2°Semestre]]&gt;0,Tabela1154[[#This Row],[Percentual CONCLUINTES - Escola de Inovadores 2024 2°Semestre]]*0.4,0)</f>
        <v>0</v>
      </c>
      <c r="S147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147" s="481">
        <f t="shared" si="2"/>
        <v>0.6</v>
      </c>
    </row>
    <row r="148" spans="1:20">
      <c r="A148" s="472">
        <v>190</v>
      </c>
      <c r="B148" s="492" t="s">
        <v>113</v>
      </c>
      <c r="C148" s="473">
        <v>1129</v>
      </c>
      <c r="D148" s="474">
        <f>Tabela1154[[#This Row],[MATRICULADOS 1° Semestre 2024]]*0.075</f>
        <v>84.674999999999997</v>
      </c>
      <c r="E148" s="475">
        <v>10</v>
      </c>
      <c r="F148" s="476">
        <f>IF(Tabela1154[[#This Row],[INSCRITOS - Escola de Inovadores - 1° Semestre 2024]]&lt;Tabela1154[[#This Row],[Linha de Base (7,5%) 1°Semestre]],0,1)</f>
        <v>0</v>
      </c>
      <c r="G148" s="477">
        <f>IF(Tabela1154[[#This Row],[Percentual INSCRITOS - Escola de Inovadores - 2024]]&gt;0,Tabela1154[[#This Row],[Percentual INSCRITOS - Escola de Inovadores - 2024]]*0.6,0)</f>
        <v>0</v>
      </c>
      <c r="H148" s="475">
        <v>0</v>
      </c>
      <c r="I148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48" s="476">
        <f>IF(Tabela1154[[#This Row],[X = Percentual de inscritos na escola de inovadores para o cumprimento de meta ( Peso 0,60)]]=0, 0, Tabela1154[[#This Row],[Percentual CONCLUINTES - Escola de Inovadores 2024]]*0.4)</f>
        <v>0</v>
      </c>
      <c r="K148" s="473">
        <v>559</v>
      </c>
      <c r="L148" s="478">
        <f>Tabela1154[[#This Row],[Matriculados 2°Semestre em Curso]]*0.075</f>
        <v>41.924999999999997</v>
      </c>
      <c r="M148" s="479">
        <v>46</v>
      </c>
      <c r="N148" s="480">
        <f>IF(Tabela1154[[#This Row],[INSCRITOS - Escola de Inovadores - 2°Semestre 2024]]&lt;Tabela1154[[#This Row],[Linha de Base (7,5%) 2°Semestre]], 0,1)</f>
        <v>1</v>
      </c>
      <c r="O148" s="480">
        <f>IF(Tabela1154[[#This Row],[Taxa de Inscritos 2° Semestre 2024]]&gt;0,Tabela1154[[#This Row],[Taxa de Inscritos 2° Semestre 2024]]*0.6,0)</f>
        <v>0.6</v>
      </c>
      <c r="P148" s="479">
        <v>0</v>
      </c>
      <c r="Q148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48" s="480">
        <f>IF(Tabela1154[[#This Row],[Percentual CONCLUINTES - Escola de Inovadores 2024 2°Semestre]]&gt;0,Tabela1154[[#This Row],[Percentual CONCLUINTES - Escola de Inovadores 2024 2°Semestre]]*0.4,0)</f>
        <v>0</v>
      </c>
      <c r="S148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</v>
      </c>
      <c r="T148" s="481">
        <f t="shared" si="2"/>
        <v>0</v>
      </c>
    </row>
    <row r="149" spans="1:20">
      <c r="A149" s="472">
        <v>191</v>
      </c>
      <c r="B149" s="492" t="s">
        <v>34</v>
      </c>
      <c r="C149" s="473">
        <v>581</v>
      </c>
      <c r="D149" s="474">
        <f>Tabela1154[[#This Row],[MATRICULADOS 1° Semestre 2024]]*0.075</f>
        <v>43.574999999999996</v>
      </c>
      <c r="E149" s="475">
        <v>140</v>
      </c>
      <c r="F149" s="476">
        <f>IF(Tabela1154[[#This Row],[INSCRITOS - Escola de Inovadores - 1° Semestre 2024]]&lt;Tabela1154[[#This Row],[Linha de Base (7,5%) 1°Semestre]],0,1)</f>
        <v>1</v>
      </c>
      <c r="G149" s="477">
        <f>IF(Tabela1154[[#This Row],[Percentual INSCRITOS - Escola de Inovadores - 2024]]&gt;0,Tabela1154[[#This Row],[Percentual INSCRITOS - Escola de Inovadores - 2024]]*0.6,0)</f>
        <v>0.6</v>
      </c>
      <c r="H149" s="475">
        <v>112</v>
      </c>
      <c r="I149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149" s="476">
        <f>IF(Tabela1154[[#This Row],[X = Percentual de inscritos na escola de inovadores para o cumprimento de meta ( Peso 0,60)]]=0, 0, Tabela1154[[#This Row],[Percentual CONCLUINTES - Escola de Inovadores 2024]]*0.4)</f>
        <v>0.4</v>
      </c>
      <c r="K149" s="473">
        <v>643</v>
      </c>
      <c r="L149" s="478">
        <f>Tabela1154[[#This Row],[Matriculados 2°Semestre em Curso]]*0.075</f>
        <v>48.225000000000001</v>
      </c>
      <c r="M149" s="479">
        <v>0</v>
      </c>
      <c r="N149" s="480">
        <f>IF(Tabela1154[[#This Row],[INSCRITOS - Escola de Inovadores - 2°Semestre 2024]]&lt;Tabela1154[[#This Row],[Linha de Base (7,5%) 2°Semestre]], 0,1)</f>
        <v>0</v>
      </c>
      <c r="O149" s="480">
        <f>IF(Tabela1154[[#This Row],[Taxa de Inscritos 2° Semestre 2024]]&gt;0,Tabela1154[[#This Row],[Taxa de Inscritos 2° Semestre 2024]]*0.6,0)</f>
        <v>0</v>
      </c>
      <c r="P149" s="479">
        <v>0</v>
      </c>
      <c r="Q149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49" s="480">
        <f>IF(Tabela1154[[#This Row],[Percentual CONCLUINTES - Escola de Inovadores 2024 2°Semestre]]&gt;0,Tabela1154[[#This Row],[Percentual CONCLUINTES - Escola de Inovadores 2024 2°Semestre]]*0.4,0)</f>
        <v>0</v>
      </c>
      <c r="S149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149" s="481">
        <f t="shared" si="2"/>
        <v>0.6</v>
      </c>
    </row>
    <row r="150" spans="1:20">
      <c r="A150" s="472">
        <v>193</v>
      </c>
      <c r="B150" s="492" t="s">
        <v>132</v>
      </c>
      <c r="C150" s="473">
        <v>717</v>
      </c>
      <c r="D150" s="474">
        <f>Tabela1154[[#This Row],[MATRICULADOS 1° Semestre 2024]]*0.075</f>
        <v>53.774999999999999</v>
      </c>
      <c r="E150" s="475">
        <v>133</v>
      </c>
      <c r="F150" s="476">
        <f>IF(Tabela1154[[#This Row],[INSCRITOS - Escola de Inovadores - 1° Semestre 2024]]&lt;Tabela1154[[#This Row],[Linha de Base (7,5%) 1°Semestre]],0,1)</f>
        <v>1</v>
      </c>
      <c r="G150" s="477">
        <f>IF(Tabela1154[[#This Row],[Percentual INSCRITOS - Escola de Inovadores - 2024]]&gt;0,Tabela1154[[#This Row],[Percentual INSCRITOS - Escola de Inovadores - 2024]]*0.6,0)</f>
        <v>0.6</v>
      </c>
      <c r="H150" s="475">
        <v>117</v>
      </c>
      <c r="I150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150" s="476">
        <f>IF(Tabela1154[[#This Row],[X = Percentual de inscritos na escola de inovadores para o cumprimento de meta ( Peso 0,60)]]=0, 0, Tabela1154[[#This Row],[Percentual CONCLUINTES - Escola de Inovadores 2024]]*0.4)</f>
        <v>0.4</v>
      </c>
      <c r="K150" s="473">
        <v>679</v>
      </c>
      <c r="L150" s="478">
        <f>Tabela1154[[#This Row],[Matriculados 2°Semestre em Curso]]*0.075</f>
        <v>50.924999999999997</v>
      </c>
      <c r="M150" s="479">
        <v>3</v>
      </c>
      <c r="N150" s="480">
        <f>IF(Tabela1154[[#This Row],[INSCRITOS - Escola de Inovadores - 2°Semestre 2024]]&lt;Tabela1154[[#This Row],[Linha de Base (7,5%) 2°Semestre]], 0,1)</f>
        <v>0</v>
      </c>
      <c r="O150" s="480">
        <f>IF(Tabela1154[[#This Row],[Taxa de Inscritos 2° Semestre 2024]]&gt;0,Tabela1154[[#This Row],[Taxa de Inscritos 2° Semestre 2024]]*0.6,0)</f>
        <v>0</v>
      </c>
      <c r="P150" s="479">
        <v>0</v>
      </c>
      <c r="Q150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50" s="480">
        <f>IF(Tabela1154[[#This Row],[Percentual CONCLUINTES - Escola de Inovadores 2024 2°Semestre]]&gt;0,Tabela1154[[#This Row],[Percentual CONCLUINTES - Escola de Inovadores 2024 2°Semestre]]*0.4,0)</f>
        <v>0</v>
      </c>
      <c r="S150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150" s="481">
        <f t="shared" si="2"/>
        <v>0.6</v>
      </c>
    </row>
    <row r="151" spans="1:20">
      <c r="A151" s="472">
        <v>194</v>
      </c>
      <c r="B151" s="492" t="s">
        <v>99</v>
      </c>
      <c r="C151" s="473">
        <v>729</v>
      </c>
      <c r="D151" s="474">
        <f>Tabela1154[[#This Row],[MATRICULADOS 1° Semestre 2024]]*0.075</f>
        <v>54.674999999999997</v>
      </c>
      <c r="E151" s="475">
        <v>74</v>
      </c>
      <c r="F151" s="476">
        <f>IF(Tabela1154[[#This Row],[INSCRITOS - Escola de Inovadores - 1° Semestre 2024]]&lt;Tabela1154[[#This Row],[Linha de Base (7,5%) 1°Semestre]],0,1)</f>
        <v>1</v>
      </c>
      <c r="G151" s="477">
        <f>IF(Tabela1154[[#This Row],[Percentual INSCRITOS - Escola de Inovadores - 2024]]&gt;0,Tabela1154[[#This Row],[Percentual INSCRITOS - Escola de Inovadores - 2024]]*0.6,0)</f>
        <v>0.6</v>
      </c>
      <c r="H151" s="475">
        <v>19</v>
      </c>
      <c r="I151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0.3475080018289895</v>
      </c>
      <c r="J151" s="476">
        <f>IF(Tabela1154[[#This Row],[X = Percentual de inscritos na escola de inovadores para o cumprimento de meta ( Peso 0,60)]]=0, 0, Tabela1154[[#This Row],[Percentual CONCLUINTES - Escola de Inovadores 2024]]*0.4)</f>
        <v>0.13900320073159581</v>
      </c>
      <c r="K151" s="473">
        <v>562</v>
      </c>
      <c r="L151" s="478">
        <f>Tabela1154[[#This Row],[Matriculados 2°Semestre em Curso]]*0.075</f>
        <v>42.15</v>
      </c>
      <c r="M151" s="479">
        <v>93</v>
      </c>
      <c r="N151" s="480">
        <f>IF(Tabela1154[[#This Row],[INSCRITOS - Escola de Inovadores - 2°Semestre 2024]]&lt;Tabela1154[[#This Row],[Linha de Base (7,5%) 2°Semestre]], 0,1)</f>
        <v>1</v>
      </c>
      <c r="O151" s="480">
        <f>IF(Tabela1154[[#This Row],[Taxa de Inscritos 2° Semestre 2024]]&gt;0,Tabela1154[[#This Row],[Taxa de Inscritos 2° Semestre 2024]]*0.6,0)</f>
        <v>0.6</v>
      </c>
      <c r="P151" s="479">
        <v>57</v>
      </c>
      <c r="Q151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1</v>
      </c>
      <c r="R151" s="480">
        <f>IF(Tabela1154[[#This Row],[Percentual CONCLUINTES - Escola de Inovadores 2024 2°Semestre]]&gt;0,Tabela1154[[#This Row],[Percentual CONCLUINTES - Escola de Inovadores 2024 2°Semestre]]*0.4,0)</f>
        <v>0.4</v>
      </c>
      <c r="S151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0.86950160036579782</v>
      </c>
      <c r="T151" s="481">
        <f t="shared" si="2"/>
        <v>1</v>
      </c>
    </row>
    <row r="152" spans="1:20">
      <c r="A152" s="472">
        <v>195</v>
      </c>
      <c r="B152" s="492" t="s">
        <v>143</v>
      </c>
      <c r="C152" s="473">
        <v>588</v>
      </c>
      <c r="D152" s="474">
        <f>Tabela1154[[#This Row],[MATRICULADOS 1° Semestre 2024]]*0.075</f>
        <v>44.1</v>
      </c>
      <c r="E152" s="475">
        <v>306</v>
      </c>
      <c r="F152" s="476">
        <f>IF(Tabela1154[[#This Row],[INSCRITOS - Escola de Inovadores - 1° Semestre 2024]]&lt;Tabela1154[[#This Row],[Linha de Base (7,5%) 1°Semestre]],0,1)</f>
        <v>1</v>
      </c>
      <c r="G152" s="477">
        <f>IF(Tabela1154[[#This Row],[Percentual INSCRITOS - Escola de Inovadores - 2024]]&gt;0,Tabela1154[[#This Row],[Percentual INSCRITOS - Escola de Inovadores - 2024]]*0.6,0)</f>
        <v>0.6</v>
      </c>
      <c r="H152" s="475">
        <v>246</v>
      </c>
      <c r="I152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152" s="476">
        <f>IF(Tabela1154[[#This Row],[X = Percentual de inscritos na escola de inovadores para o cumprimento de meta ( Peso 0,60)]]=0, 0, Tabela1154[[#This Row],[Percentual CONCLUINTES - Escola de Inovadores 2024]]*0.4)</f>
        <v>0.4</v>
      </c>
      <c r="K152" s="473">
        <v>563</v>
      </c>
      <c r="L152" s="478">
        <f>Tabela1154[[#This Row],[Matriculados 2°Semestre em Curso]]*0.075</f>
        <v>42.225000000000001</v>
      </c>
      <c r="M152" s="479">
        <v>24</v>
      </c>
      <c r="N152" s="480">
        <f>IF(Tabela1154[[#This Row],[INSCRITOS - Escola de Inovadores - 2°Semestre 2024]]&lt;Tabela1154[[#This Row],[Linha de Base (7,5%) 2°Semestre]], 0,1)</f>
        <v>0</v>
      </c>
      <c r="O152" s="480">
        <f>IF(Tabela1154[[#This Row],[Taxa de Inscritos 2° Semestre 2024]]&gt;0,Tabela1154[[#This Row],[Taxa de Inscritos 2° Semestre 2024]]*0.6,0)</f>
        <v>0</v>
      </c>
      <c r="P152" s="479">
        <v>8</v>
      </c>
      <c r="Q152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52" s="480">
        <f>IF(Tabela1154[[#This Row],[Percentual CONCLUINTES - Escola de Inovadores 2024 2°Semestre]]&gt;0,Tabela1154[[#This Row],[Percentual CONCLUINTES - Escola de Inovadores 2024 2°Semestre]]*0.4,0)</f>
        <v>0</v>
      </c>
      <c r="S152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152" s="481">
        <f t="shared" si="2"/>
        <v>0.6</v>
      </c>
    </row>
    <row r="153" spans="1:20">
      <c r="A153" s="472">
        <v>197</v>
      </c>
      <c r="B153" s="492" t="s">
        <v>173</v>
      </c>
      <c r="C153" s="473">
        <v>598</v>
      </c>
      <c r="D153" s="474">
        <f>Tabela1154[[#This Row],[MATRICULADOS 1° Semestre 2024]]*0.075</f>
        <v>44.85</v>
      </c>
      <c r="E153" s="475">
        <v>70</v>
      </c>
      <c r="F153" s="476">
        <f>IF(Tabela1154[[#This Row],[INSCRITOS - Escola de Inovadores - 1° Semestre 2024]]&lt;Tabela1154[[#This Row],[Linha de Base (7,5%) 1°Semestre]],0,1)</f>
        <v>1</v>
      </c>
      <c r="G153" s="477">
        <f>IF(Tabela1154[[#This Row],[Percentual INSCRITOS - Escola de Inovadores - 2024]]&gt;0,Tabela1154[[#This Row],[Percentual INSCRITOS - Escola de Inovadores - 2024]]*0.6,0)</f>
        <v>0.6</v>
      </c>
      <c r="H153" s="475">
        <v>22</v>
      </c>
      <c r="I153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0.49052396878483834</v>
      </c>
      <c r="J153" s="476">
        <f>IF(Tabela1154[[#This Row],[X = Percentual de inscritos na escola de inovadores para o cumprimento de meta ( Peso 0,60)]]=0, 0, Tabela1154[[#This Row],[Percentual CONCLUINTES - Escola de Inovadores 2024]]*0.4)</f>
        <v>0.19620958751393536</v>
      </c>
      <c r="K153" s="473">
        <v>539</v>
      </c>
      <c r="L153" s="478">
        <f>Tabela1154[[#This Row],[Matriculados 2°Semestre em Curso]]*0.075</f>
        <v>40.424999999999997</v>
      </c>
      <c r="M153" s="479">
        <v>28</v>
      </c>
      <c r="N153" s="480">
        <f>IF(Tabela1154[[#This Row],[INSCRITOS - Escola de Inovadores - 2°Semestre 2024]]&lt;Tabela1154[[#This Row],[Linha de Base (7,5%) 2°Semestre]], 0,1)</f>
        <v>0</v>
      </c>
      <c r="O153" s="480">
        <f>IF(Tabela1154[[#This Row],[Taxa de Inscritos 2° Semestre 2024]]&gt;0,Tabela1154[[#This Row],[Taxa de Inscritos 2° Semestre 2024]]*0.6,0)</f>
        <v>0</v>
      </c>
      <c r="P153" s="479">
        <v>23</v>
      </c>
      <c r="Q153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53" s="480">
        <f>IF(Tabela1154[[#This Row],[Percentual CONCLUINTES - Escola de Inovadores 2024 2°Semestre]]&gt;0,Tabela1154[[#This Row],[Percentual CONCLUINTES - Escola de Inovadores 2024 2°Semestre]]*0.4,0)</f>
        <v>0</v>
      </c>
      <c r="S153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0.39810479375696767</v>
      </c>
      <c r="T153" s="481">
        <f t="shared" si="2"/>
        <v>0</v>
      </c>
    </row>
    <row r="154" spans="1:20">
      <c r="A154" s="472">
        <v>198</v>
      </c>
      <c r="B154" s="492" t="s">
        <v>67</v>
      </c>
      <c r="C154" s="473">
        <v>567</v>
      </c>
      <c r="D154" s="474">
        <f>Tabela1154[[#This Row],[MATRICULADOS 1° Semestre 2024]]*0.075</f>
        <v>42.524999999999999</v>
      </c>
      <c r="E154" s="475">
        <v>81</v>
      </c>
      <c r="F154" s="476">
        <f>IF(Tabela1154[[#This Row],[INSCRITOS - Escola de Inovadores - 1° Semestre 2024]]&lt;Tabela1154[[#This Row],[Linha de Base (7,5%) 1°Semestre]],0,1)</f>
        <v>1</v>
      </c>
      <c r="G154" s="477">
        <f>IF(Tabela1154[[#This Row],[Percentual INSCRITOS - Escola de Inovadores - 2024]]&gt;0,Tabela1154[[#This Row],[Percentual INSCRITOS - Escola de Inovadores - 2024]]*0.6,0)</f>
        <v>0.6</v>
      </c>
      <c r="H154" s="475">
        <v>48</v>
      </c>
      <c r="I154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154" s="476">
        <f>IF(Tabela1154[[#This Row],[X = Percentual de inscritos na escola de inovadores para o cumprimento de meta ( Peso 0,60)]]=0, 0, Tabela1154[[#This Row],[Percentual CONCLUINTES - Escola de Inovadores 2024]]*0.4)</f>
        <v>0.4</v>
      </c>
      <c r="K154" s="473">
        <v>1300</v>
      </c>
      <c r="L154" s="478">
        <f>Tabela1154[[#This Row],[Matriculados 2°Semestre em Curso]]*0.075</f>
        <v>97.5</v>
      </c>
      <c r="M154" s="479">
        <v>45</v>
      </c>
      <c r="N154" s="480">
        <f>IF(Tabela1154[[#This Row],[INSCRITOS - Escola de Inovadores - 2°Semestre 2024]]&lt;Tabela1154[[#This Row],[Linha de Base (7,5%) 2°Semestre]], 0,1)</f>
        <v>0</v>
      </c>
      <c r="O154" s="480">
        <f>IF(Tabela1154[[#This Row],[Taxa de Inscritos 2° Semestre 2024]]&gt;0,Tabela1154[[#This Row],[Taxa de Inscritos 2° Semestre 2024]]*0.6,0)</f>
        <v>0</v>
      </c>
      <c r="P154" s="479">
        <v>10</v>
      </c>
      <c r="Q154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54" s="480">
        <f>IF(Tabela1154[[#This Row],[Percentual CONCLUINTES - Escola de Inovadores 2024 2°Semestre]]&gt;0,Tabela1154[[#This Row],[Percentual CONCLUINTES - Escola de Inovadores 2024 2°Semestre]]*0.4,0)</f>
        <v>0</v>
      </c>
      <c r="S154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154" s="481">
        <f t="shared" si="2"/>
        <v>0.6</v>
      </c>
    </row>
    <row r="155" spans="1:20">
      <c r="A155" s="472">
        <v>199</v>
      </c>
      <c r="B155" s="492" t="s">
        <v>19</v>
      </c>
      <c r="C155" s="473">
        <v>1348</v>
      </c>
      <c r="D155" s="474">
        <f>Tabela1154[[#This Row],[MATRICULADOS 1° Semestre 2024]]*0.075</f>
        <v>101.1</v>
      </c>
      <c r="E155" s="475">
        <v>161</v>
      </c>
      <c r="F155" s="476">
        <f>IF(Tabela1154[[#This Row],[INSCRITOS - Escola de Inovadores - 1° Semestre 2024]]&lt;Tabela1154[[#This Row],[Linha de Base (7,5%) 1°Semestre]],0,1)</f>
        <v>1</v>
      </c>
      <c r="G155" s="477">
        <f>IF(Tabela1154[[#This Row],[Percentual INSCRITOS - Escola de Inovadores - 2024]]&gt;0,Tabela1154[[#This Row],[Percentual INSCRITOS - Escola de Inovadores - 2024]]*0.6,0)</f>
        <v>0.6</v>
      </c>
      <c r="H155" s="475">
        <v>7</v>
      </c>
      <c r="I155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6.9238377843719098E-2</v>
      </c>
      <c r="J155" s="476">
        <f>IF(Tabela1154[[#This Row],[X = Percentual de inscritos na escola de inovadores para o cumprimento de meta ( Peso 0,60)]]=0, 0, Tabela1154[[#This Row],[Percentual CONCLUINTES - Escola de Inovadores 2024]]*0.4)</f>
        <v>2.7695351137487639E-2</v>
      </c>
      <c r="K155" s="473">
        <v>835</v>
      </c>
      <c r="L155" s="478">
        <f>Tabela1154[[#This Row],[Matriculados 2°Semestre em Curso]]*0.075</f>
        <v>62.625</v>
      </c>
      <c r="M155" s="479">
        <v>298</v>
      </c>
      <c r="N155" s="480">
        <f>IF(Tabela1154[[#This Row],[INSCRITOS - Escola de Inovadores - 2°Semestre 2024]]&lt;Tabela1154[[#This Row],[Linha de Base (7,5%) 2°Semestre]], 0,1)</f>
        <v>1</v>
      </c>
      <c r="O155" s="480">
        <f>IF(Tabela1154[[#This Row],[Taxa de Inscritos 2° Semestre 2024]]&gt;0,Tabela1154[[#This Row],[Taxa de Inscritos 2° Semestre 2024]]*0.6,0)</f>
        <v>0.6</v>
      </c>
      <c r="P155" s="479">
        <v>25</v>
      </c>
      <c r="Q155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0.39920159680638723</v>
      </c>
      <c r="R155" s="480">
        <f>IF(Tabela1154[[#This Row],[Percentual CONCLUINTES - Escola de Inovadores 2024 2°Semestre]]&gt;0,Tabela1154[[#This Row],[Percentual CONCLUINTES - Escola de Inovadores 2024 2°Semestre]]*0.4,0)</f>
        <v>0.15968063872255489</v>
      </c>
      <c r="S155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0.69368799493002131</v>
      </c>
      <c r="T155" s="481">
        <f t="shared" si="2"/>
        <v>0.7</v>
      </c>
    </row>
    <row r="156" spans="1:20">
      <c r="A156" s="472">
        <v>200</v>
      </c>
      <c r="B156" s="492" t="s">
        <v>134</v>
      </c>
      <c r="C156" s="473">
        <v>922</v>
      </c>
      <c r="D156" s="474">
        <f>Tabela1154[[#This Row],[MATRICULADOS 1° Semestre 2024]]*0.075</f>
        <v>69.149999999999991</v>
      </c>
      <c r="E156" s="475">
        <v>68</v>
      </c>
      <c r="F156" s="476">
        <f>IF(Tabela1154[[#This Row],[INSCRITOS - Escola de Inovadores - 1° Semestre 2024]]&lt;Tabela1154[[#This Row],[Linha de Base (7,5%) 1°Semestre]],0,1)</f>
        <v>0</v>
      </c>
      <c r="G156" s="477">
        <f>IF(Tabela1154[[#This Row],[Percentual INSCRITOS - Escola de Inovadores - 2024]]&gt;0,Tabela1154[[#This Row],[Percentual INSCRITOS - Escola de Inovadores - 2024]]*0.6,0)</f>
        <v>0</v>
      </c>
      <c r="H156" s="475">
        <v>4</v>
      </c>
      <c r="I156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56" s="476">
        <f>IF(Tabela1154[[#This Row],[X = Percentual de inscritos na escola de inovadores para o cumprimento de meta ( Peso 0,60)]]=0, 0, Tabela1154[[#This Row],[Percentual CONCLUINTES - Escola de Inovadores 2024]]*0.4)</f>
        <v>0</v>
      </c>
      <c r="K156" s="473">
        <v>611</v>
      </c>
      <c r="L156" s="478">
        <f>Tabela1154[[#This Row],[Matriculados 2°Semestre em Curso]]*0.075</f>
        <v>45.824999999999996</v>
      </c>
      <c r="M156" s="479">
        <v>69</v>
      </c>
      <c r="N156" s="480">
        <f>IF(Tabela1154[[#This Row],[INSCRITOS - Escola de Inovadores - 2°Semestre 2024]]&lt;Tabela1154[[#This Row],[Linha de Base (7,5%) 2°Semestre]], 0,1)</f>
        <v>1</v>
      </c>
      <c r="O156" s="480">
        <f>IF(Tabela1154[[#This Row],[Taxa de Inscritos 2° Semestre 2024]]&gt;0,Tabela1154[[#This Row],[Taxa de Inscritos 2° Semestre 2024]]*0.6,0)</f>
        <v>0.6</v>
      </c>
      <c r="P156" s="479">
        <v>50</v>
      </c>
      <c r="Q156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1</v>
      </c>
      <c r="R156" s="480">
        <f>IF(Tabela1154[[#This Row],[Percentual CONCLUINTES - Escola de Inovadores 2024 2°Semestre]]&gt;0,Tabela1154[[#This Row],[Percentual CONCLUINTES - Escola de Inovadores 2024 2°Semestre]]*0.4,0)</f>
        <v>0.4</v>
      </c>
      <c r="S156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156" s="481">
        <f t="shared" si="2"/>
        <v>0.6</v>
      </c>
    </row>
    <row r="157" spans="1:20">
      <c r="A157" s="472">
        <v>201</v>
      </c>
      <c r="B157" s="492" t="s">
        <v>88</v>
      </c>
      <c r="C157" s="473">
        <v>621</v>
      </c>
      <c r="D157" s="474">
        <f>Tabela1154[[#This Row],[MATRICULADOS 1° Semestre 2024]]*0.075</f>
        <v>46.574999999999996</v>
      </c>
      <c r="E157" s="475">
        <v>26</v>
      </c>
      <c r="F157" s="476">
        <f>IF(Tabela1154[[#This Row],[INSCRITOS - Escola de Inovadores - 1° Semestre 2024]]&lt;Tabela1154[[#This Row],[Linha de Base (7,5%) 1°Semestre]],0,1)</f>
        <v>0</v>
      </c>
      <c r="G157" s="477">
        <f>IF(Tabela1154[[#This Row],[Percentual INSCRITOS - Escola de Inovadores - 2024]]&gt;0,Tabela1154[[#This Row],[Percentual INSCRITOS - Escola de Inovadores - 2024]]*0.6,0)</f>
        <v>0</v>
      </c>
      <c r="H157" s="475">
        <v>3</v>
      </c>
      <c r="I157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57" s="476">
        <f>IF(Tabela1154[[#This Row],[X = Percentual de inscritos na escola de inovadores para o cumprimento de meta ( Peso 0,60)]]=0, 0, Tabela1154[[#This Row],[Percentual CONCLUINTES - Escola de Inovadores 2024]]*0.4)</f>
        <v>0</v>
      </c>
      <c r="K157" s="473">
        <v>258</v>
      </c>
      <c r="L157" s="478">
        <f>Tabela1154[[#This Row],[Matriculados 2°Semestre em Curso]]*0.075</f>
        <v>19.349999999999998</v>
      </c>
      <c r="M157" s="479">
        <v>11</v>
      </c>
      <c r="N157" s="480">
        <f>IF(Tabela1154[[#This Row],[INSCRITOS - Escola de Inovadores - 2°Semestre 2024]]&lt;Tabela1154[[#This Row],[Linha de Base (7,5%) 2°Semestre]], 0,1)</f>
        <v>0</v>
      </c>
      <c r="O157" s="480">
        <f>IF(Tabela1154[[#This Row],[Taxa de Inscritos 2° Semestre 2024]]&gt;0,Tabela1154[[#This Row],[Taxa de Inscritos 2° Semestre 2024]]*0.6,0)</f>
        <v>0</v>
      </c>
      <c r="P157" s="479">
        <v>0</v>
      </c>
      <c r="Q157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57" s="480">
        <f>IF(Tabela1154[[#This Row],[Percentual CONCLUINTES - Escola de Inovadores 2024 2°Semestre]]&gt;0,Tabela1154[[#This Row],[Percentual CONCLUINTES - Escola de Inovadores 2024 2°Semestre]]*0.4,0)</f>
        <v>0</v>
      </c>
      <c r="S157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57" s="481">
        <f t="shared" si="2"/>
        <v>0</v>
      </c>
    </row>
    <row r="158" spans="1:20">
      <c r="A158" s="472">
        <v>202</v>
      </c>
      <c r="B158" s="492" t="s">
        <v>133</v>
      </c>
      <c r="C158" s="473">
        <v>300</v>
      </c>
      <c r="D158" s="474">
        <f>Tabela1154[[#This Row],[MATRICULADOS 1° Semestre 2024]]*0.075</f>
        <v>22.5</v>
      </c>
      <c r="E158" s="475">
        <v>141</v>
      </c>
      <c r="F158" s="476">
        <f>IF(Tabela1154[[#This Row],[INSCRITOS - Escola de Inovadores - 1° Semestre 2024]]&lt;Tabela1154[[#This Row],[Linha de Base (7,5%) 1°Semestre]],0,1)</f>
        <v>1</v>
      </c>
      <c r="G158" s="477">
        <f>IF(Tabela1154[[#This Row],[Percentual INSCRITOS - Escola de Inovadores - 2024]]&gt;0,Tabela1154[[#This Row],[Percentual INSCRITOS - Escola de Inovadores - 2024]]*0.6,0)</f>
        <v>0.6</v>
      </c>
      <c r="H158" s="475">
        <v>5</v>
      </c>
      <c r="I158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0.22222222222222221</v>
      </c>
      <c r="J158" s="476">
        <f>IF(Tabela1154[[#This Row],[X = Percentual de inscritos na escola de inovadores para o cumprimento de meta ( Peso 0,60)]]=0, 0, Tabela1154[[#This Row],[Percentual CONCLUINTES - Escola de Inovadores 2024]]*0.4)</f>
        <v>8.8888888888888892E-2</v>
      </c>
      <c r="K158" s="473">
        <v>451</v>
      </c>
      <c r="L158" s="478">
        <f>Tabela1154[[#This Row],[Matriculados 2°Semestre em Curso]]*0.075</f>
        <v>33.824999999999996</v>
      </c>
      <c r="M158" s="479">
        <v>37</v>
      </c>
      <c r="N158" s="480">
        <f>IF(Tabela1154[[#This Row],[INSCRITOS - Escola de Inovadores - 2°Semestre 2024]]&lt;Tabela1154[[#This Row],[Linha de Base (7,5%) 2°Semestre]], 0,1)</f>
        <v>1</v>
      </c>
      <c r="O158" s="480">
        <f>IF(Tabela1154[[#This Row],[Taxa de Inscritos 2° Semestre 2024]]&gt;0,Tabela1154[[#This Row],[Taxa de Inscritos 2° Semestre 2024]]*0.6,0)</f>
        <v>0.6</v>
      </c>
      <c r="P158" s="479">
        <v>0</v>
      </c>
      <c r="Q158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58" s="480">
        <f>IF(Tabela1154[[#This Row],[Percentual CONCLUINTES - Escola de Inovadores 2024 2°Semestre]]&gt;0,Tabela1154[[#This Row],[Percentual CONCLUINTES - Escola de Inovadores 2024 2°Semestre]]*0.4,0)</f>
        <v>0</v>
      </c>
      <c r="S158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0.64444444444444438</v>
      </c>
      <c r="T158" s="481">
        <f t="shared" si="2"/>
        <v>0.7</v>
      </c>
    </row>
    <row r="159" spans="1:20">
      <c r="A159" s="472">
        <v>203</v>
      </c>
      <c r="B159" s="492" t="s">
        <v>63</v>
      </c>
      <c r="C159" s="473">
        <v>406</v>
      </c>
      <c r="D159" s="474">
        <f>Tabela1154[[#This Row],[MATRICULADOS 1° Semestre 2024]]*0.075</f>
        <v>30.45</v>
      </c>
      <c r="E159" s="475">
        <v>1</v>
      </c>
      <c r="F159" s="476">
        <f>IF(Tabela1154[[#This Row],[INSCRITOS - Escola de Inovadores - 1° Semestre 2024]]&lt;Tabela1154[[#This Row],[Linha de Base (7,5%) 1°Semestre]],0,1)</f>
        <v>0</v>
      </c>
      <c r="G159" s="477">
        <f>IF(Tabela1154[[#This Row],[Percentual INSCRITOS - Escola de Inovadores - 2024]]&gt;0,Tabela1154[[#This Row],[Percentual INSCRITOS - Escola de Inovadores - 2024]]*0.6,0)</f>
        <v>0</v>
      </c>
      <c r="H159" s="475">
        <v>0</v>
      </c>
      <c r="I159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59" s="476">
        <f>IF(Tabela1154[[#This Row],[X = Percentual de inscritos na escola de inovadores para o cumprimento de meta ( Peso 0,60)]]=0, 0, Tabela1154[[#This Row],[Percentual CONCLUINTES - Escola de Inovadores 2024]]*0.4)</f>
        <v>0</v>
      </c>
      <c r="K159" s="473">
        <v>1034</v>
      </c>
      <c r="L159" s="478">
        <f>Tabela1154[[#This Row],[Matriculados 2°Semestre em Curso]]*0.075</f>
        <v>77.55</v>
      </c>
      <c r="M159" s="479">
        <v>3</v>
      </c>
      <c r="N159" s="480">
        <f>IF(Tabela1154[[#This Row],[INSCRITOS - Escola de Inovadores - 2°Semestre 2024]]&lt;Tabela1154[[#This Row],[Linha de Base (7,5%) 2°Semestre]], 0,1)</f>
        <v>0</v>
      </c>
      <c r="O159" s="480">
        <f>IF(Tabela1154[[#This Row],[Taxa de Inscritos 2° Semestre 2024]]&gt;0,Tabela1154[[#This Row],[Taxa de Inscritos 2° Semestre 2024]]*0.6,0)</f>
        <v>0</v>
      </c>
      <c r="P159" s="479">
        <v>0</v>
      </c>
      <c r="Q159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59" s="480">
        <f>IF(Tabela1154[[#This Row],[Percentual CONCLUINTES - Escola de Inovadores 2024 2°Semestre]]&gt;0,Tabela1154[[#This Row],[Percentual CONCLUINTES - Escola de Inovadores 2024 2°Semestre]]*0.4,0)</f>
        <v>0</v>
      </c>
      <c r="S159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59" s="481">
        <f t="shared" si="2"/>
        <v>0</v>
      </c>
    </row>
    <row r="160" spans="1:20">
      <c r="A160" s="472">
        <v>205</v>
      </c>
      <c r="B160" s="492" t="s">
        <v>169</v>
      </c>
      <c r="C160" s="473">
        <v>1051</v>
      </c>
      <c r="D160" s="474">
        <f>Tabela1154[[#This Row],[MATRICULADOS 1° Semestre 2024]]*0.075</f>
        <v>78.825000000000003</v>
      </c>
      <c r="E160" s="475">
        <v>7</v>
      </c>
      <c r="F160" s="476">
        <f>IF(Tabela1154[[#This Row],[INSCRITOS - Escola de Inovadores - 1° Semestre 2024]]&lt;Tabela1154[[#This Row],[Linha de Base (7,5%) 1°Semestre]],0,1)</f>
        <v>0</v>
      </c>
      <c r="G160" s="477">
        <f>IF(Tabela1154[[#This Row],[Percentual INSCRITOS - Escola de Inovadores - 2024]]&gt;0,Tabela1154[[#This Row],[Percentual INSCRITOS - Escola de Inovadores - 2024]]*0.6,0)</f>
        <v>0</v>
      </c>
      <c r="H160" s="475">
        <v>0</v>
      </c>
      <c r="I160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60" s="476">
        <f>IF(Tabela1154[[#This Row],[X = Percentual de inscritos na escola de inovadores para o cumprimento de meta ( Peso 0,60)]]=0, 0, Tabela1154[[#This Row],[Percentual CONCLUINTES - Escola de Inovadores 2024]]*0.4)</f>
        <v>0</v>
      </c>
      <c r="K160" s="473">
        <v>519</v>
      </c>
      <c r="L160" s="478">
        <f>Tabela1154[[#This Row],[Matriculados 2°Semestre em Curso]]*0.075</f>
        <v>38.924999999999997</v>
      </c>
      <c r="M160" s="479">
        <v>102</v>
      </c>
      <c r="N160" s="480">
        <f>IF(Tabela1154[[#This Row],[INSCRITOS - Escola de Inovadores - 2°Semestre 2024]]&lt;Tabela1154[[#This Row],[Linha de Base (7,5%) 2°Semestre]], 0,1)</f>
        <v>1</v>
      </c>
      <c r="O160" s="480">
        <f>IF(Tabela1154[[#This Row],[Taxa de Inscritos 2° Semestre 2024]]&gt;0,Tabela1154[[#This Row],[Taxa de Inscritos 2° Semestre 2024]]*0.6,0)</f>
        <v>0.6</v>
      </c>
      <c r="P160" s="479">
        <v>10</v>
      </c>
      <c r="Q160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0.25690430314707774</v>
      </c>
      <c r="R160" s="480">
        <f>IF(Tabela1154[[#This Row],[Percentual CONCLUINTES - Escola de Inovadores 2024 2°Semestre]]&gt;0,Tabela1154[[#This Row],[Percentual CONCLUINTES - Escola de Inovadores 2024 2°Semestre]]*0.4,0)</f>
        <v>0.1027617212588311</v>
      </c>
      <c r="S160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0.35138086062941554</v>
      </c>
      <c r="T160" s="481">
        <f t="shared" si="2"/>
        <v>0</v>
      </c>
    </row>
    <row r="161" spans="1:20">
      <c r="A161" s="472">
        <v>206</v>
      </c>
      <c r="B161" s="492" t="s">
        <v>214</v>
      </c>
      <c r="C161" s="473">
        <v>530</v>
      </c>
      <c r="D161" s="474">
        <f>Tabela1154[[#This Row],[MATRICULADOS 1° Semestre 2024]]*0.075</f>
        <v>39.75</v>
      </c>
      <c r="E161" s="475">
        <v>222</v>
      </c>
      <c r="F161" s="476">
        <f>IF(Tabela1154[[#This Row],[INSCRITOS - Escola de Inovadores - 1° Semestre 2024]]&lt;Tabela1154[[#This Row],[Linha de Base (7,5%) 1°Semestre]],0,1)</f>
        <v>1</v>
      </c>
      <c r="G161" s="477">
        <f>IF(Tabela1154[[#This Row],[Percentual INSCRITOS - Escola de Inovadores - 2024]]&gt;0,Tabela1154[[#This Row],[Percentual INSCRITOS - Escola de Inovadores - 2024]]*0.6,0)</f>
        <v>0.6</v>
      </c>
      <c r="H161" s="475">
        <v>165</v>
      </c>
      <c r="I161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161" s="476">
        <f>IF(Tabela1154[[#This Row],[X = Percentual de inscritos na escola de inovadores para o cumprimento de meta ( Peso 0,60)]]=0, 0, Tabela1154[[#This Row],[Percentual CONCLUINTES - Escola de Inovadores 2024]]*0.4)</f>
        <v>0.4</v>
      </c>
      <c r="K161" s="473">
        <v>1174</v>
      </c>
      <c r="L161" s="478">
        <f>Tabela1154[[#This Row],[Matriculados 2°Semestre em Curso]]*0.075</f>
        <v>88.05</v>
      </c>
      <c r="M161" s="479">
        <v>13</v>
      </c>
      <c r="N161" s="480">
        <f>IF(Tabela1154[[#This Row],[INSCRITOS - Escola de Inovadores - 2°Semestre 2024]]&lt;Tabela1154[[#This Row],[Linha de Base (7,5%) 2°Semestre]], 0,1)</f>
        <v>0</v>
      </c>
      <c r="O161" s="480">
        <f>IF(Tabela1154[[#This Row],[Taxa de Inscritos 2° Semestre 2024]]&gt;0,Tabela1154[[#This Row],[Taxa de Inscritos 2° Semestre 2024]]*0.6,0)</f>
        <v>0</v>
      </c>
      <c r="P161" s="479">
        <v>3</v>
      </c>
      <c r="Q161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61" s="480">
        <f>IF(Tabela1154[[#This Row],[Percentual CONCLUINTES - Escola de Inovadores 2024 2°Semestre]]&gt;0,Tabela1154[[#This Row],[Percentual CONCLUINTES - Escola de Inovadores 2024 2°Semestre]]*0.4,0)</f>
        <v>0</v>
      </c>
      <c r="S161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161" s="481">
        <f t="shared" si="2"/>
        <v>0.6</v>
      </c>
    </row>
    <row r="162" spans="1:20">
      <c r="A162" s="472">
        <v>207</v>
      </c>
      <c r="B162" s="492" t="s">
        <v>31</v>
      </c>
      <c r="C162" s="473">
        <v>1217</v>
      </c>
      <c r="D162" s="474">
        <f>Tabela1154[[#This Row],[MATRICULADOS 1° Semestre 2024]]*0.075</f>
        <v>91.274999999999991</v>
      </c>
      <c r="E162" s="475">
        <v>83</v>
      </c>
      <c r="F162" s="476">
        <f>IF(Tabela1154[[#This Row],[INSCRITOS - Escola de Inovadores - 1° Semestre 2024]]&lt;Tabela1154[[#This Row],[Linha de Base (7,5%) 1°Semestre]],0,1)</f>
        <v>0</v>
      </c>
      <c r="G162" s="477">
        <f>IF(Tabela1154[[#This Row],[Percentual INSCRITOS - Escola de Inovadores - 2024]]&gt;0,Tabela1154[[#This Row],[Percentual INSCRITOS - Escola de Inovadores - 2024]]*0.6,0)</f>
        <v>0</v>
      </c>
      <c r="H162" s="475">
        <v>80</v>
      </c>
      <c r="I162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62" s="476">
        <f>IF(Tabela1154[[#This Row],[X = Percentual de inscritos na escola de inovadores para o cumprimento de meta ( Peso 0,60)]]=0, 0, Tabela1154[[#This Row],[Percentual CONCLUINTES - Escola de Inovadores 2024]]*0.4)</f>
        <v>0</v>
      </c>
      <c r="K162" s="473">
        <v>1095</v>
      </c>
      <c r="L162" s="478">
        <f>Tabela1154[[#This Row],[Matriculados 2°Semestre em Curso]]*0.075</f>
        <v>82.125</v>
      </c>
      <c r="M162" s="479">
        <v>2</v>
      </c>
      <c r="N162" s="480">
        <f>IF(Tabela1154[[#This Row],[INSCRITOS - Escola de Inovadores - 2°Semestre 2024]]&lt;Tabela1154[[#This Row],[Linha de Base (7,5%) 2°Semestre]], 0,1)</f>
        <v>0</v>
      </c>
      <c r="O162" s="480">
        <f>IF(Tabela1154[[#This Row],[Taxa de Inscritos 2° Semestre 2024]]&gt;0,Tabela1154[[#This Row],[Taxa de Inscritos 2° Semestre 2024]]*0.6,0)</f>
        <v>0</v>
      </c>
      <c r="P162" s="479">
        <v>0</v>
      </c>
      <c r="Q162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62" s="480">
        <f>IF(Tabela1154[[#This Row],[Percentual CONCLUINTES - Escola de Inovadores 2024 2°Semestre]]&gt;0,Tabela1154[[#This Row],[Percentual CONCLUINTES - Escola de Inovadores 2024 2°Semestre]]*0.4,0)</f>
        <v>0</v>
      </c>
      <c r="S162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62" s="481">
        <f t="shared" si="2"/>
        <v>0</v>
      </c>
    </row>
    <row r="163" spans="1:20">
      <c r="A163" s="472">
        <v>208</v>
      </c>
      <c r="B163" s="492" t="s">
        <v>112</v>
      </c>
      <c r="C163" s="473">
        <v>1212</v>
      </c>
      <c r="D163" s="474">
        <f>Tabela1154[[#This Row],[MATRICULADOS 1° Semestre 2024]]*0.075</f>
        <v>90.899999999999991</v>
      </c>
      <c r="E163" s="475">
        <v>33</v>
      </c>
      <c r="F163" s="476">
        <f>IF(Tabela1154[[#This Row],[INSCRITOS - Escola de Inovadores - 1° Semestre 2024]]&lt;Tabela1154[[#This Row],[Linha de Base (7,5%) 1°Semestre]],0,1)</f>
        <v>0</v>
      </c>
      <c r="G163" s="477">
        <f>IF(Tabela1154[[#This Row],[Percentual INSCRITOS - Escola de Inovadores - 2024]]&gt;0,Tabela1154[[#This Row],[Percentual INSCRITOS - Escola de Inovadores - 2024]]*0.6,0)</f>
        <v>0</v>
      </c>
      <c r="H163" s="475">
        <v>1</v>
      </c>
      <c r="I163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63" s="476">
        <f>IF(Tabela1154[[#This Row],[X = Percentual de inscritos na escola de inovadores para o cumprimento de meta ( Peso 0,60)]]=0, 0, Tabela1154[[#This Row],[Percentual CONCLUINTES - Escola de Inovadores 2024]]*0.4)</f>
        <v>0</v>
      </c>
      <c r="K163" s="473">
        <v>630</v>
      </c>
      <c r="L163" s="478">
        <f>Tabela1154[[#This Row],[Matriculados 2°Semestre em Curso]]*0.075</f>
        <v>47.25</v>
      </c>
      <c r="M163" s="479">
        <v>21</v>
      </c>
      <c r="N163" s="480">
        <f>IF(Tabela1154[[#This Row],[INSCRITOS - Escola de Inovadores - 2°Semestre 2024]]&lt;Tabela1154[[#This Row],[Linha de Base (7,5%) 2°Semestre]], 0,1)</f>
        <v>0</v>
      </c>
      <c r="O163" s="480">
        <f>IF(Tabela1154[[#This Row],[Taxa de Inscritos 2° Semestre 2024]]&gt;0,Tabela1154[[#This Row],[Taxa de Inscritos 2° Semestre 2024]]*0.6,0)</f>
        <v>0</v>
      </c>
      <c r="P163" s="479">
        <v>0</v>
      </c>
      <c r="Q163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63" s="480">
        <f>IF(Tabela1154[[#This Row],[Percentual CONCLUINTES - Escola de Inovadores 2024 2°Semestre]]&gt;0,Tabela1154[[#This Row],[Percentual CONCLUINTES - Escola de Inovadores 2024 2°Semestre]]*0.4,0)</f>
        <v>0</v>
      </c>
      <c r="S163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63" s="481">
        <f t="shared" si="2"/>
        <v>0</v>
      </c>
    </row>
    <row r="164" spans="1:20">
      <c r="A164" s="472">
        <v>210</v>
      </c>
      <c r="B164" s="492" t="s">
        <v>13</v>
      </c>
      <c r="C164" s="473">
        <v>694</v>
      </c>
      <c r="D164" s="474">
        <f>Tabela1154[[#This Row],[MATRICULADOS 1° Semestre 2024]]*0.075</f>
        <v>52.05</v>
      </c>
      <c r="E164" s="475">
        <v>45</v>
      </c>
      <c r="F164" s="476">
        <f>IF(Tabela1154[[#This Row],[INSCRITOS - Escola de Inovadores - 1° Semestre 2024]]&lt;Tabela1154[[#This Row],[Linha de Base (7,5%) 1°Semestre]],0,1)</f>
        <v>0</v>
      </c>
      <c r="G164" s="477">
        <f>IF(Tabela1154[[#This Row],[Percentual INSCRITOS - Escola de Inovadores - 2024]]&gt;0,Tabela1154[[#This Row],[Percentual INSCRITOS - Escola de Inovadores - 2024]]*0.6,0)</f>
        <v>0</v>
      </c>
      <c r="H164" s="475">
        <v>35</v>
      </c>
      <c r="I164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64" s="476">
        <f>IF(Tabela1154[[#This Row],[X = Percentual de inscritos na escola de inovadores para o cumprimento de meta ( Peso 0,60)]]=0, 0, Tabela1154[[#This Row],[Percentual CONCLUINTES - Escola de Inovadores 2024]]*0.4)</f>
        <v>0</v>
      </c>
      <c r="K164" s="473">
        <v>1106</v>
      </c>
      <c r="L164" s="478">
        <f>Tabela1154[[#This Row],[Matriculados 2°Semestre em Curso]]*0.075</f>
        <v>82.95</v>
      </c>
      <c r="M164" s="479">
        <v>58</v>
      </c>
      <c r="N164" s="480">
        <f>IF(Tabela1154[[#This Row],[INSCRITOS - Escola de Inovadores - 2°Semestre 2024]]&lt;Tabela1154[[#This Row],[Linha de Base (7,5%) 2°Semestre]], 0,1)</f>
        <v>0</v>
      </c>
      <c r="O164" s="480">
        <f>IF(Tabela1154[[#This Row],[Taxa de Inscritos 2° Semestre 2024]]&gt;0,Tabela1154[[#This Row],[Taxa de Inscritos 2° Semestre 2024]]*0.6,0)</f>
        <v>0</v>
      </c>
      <c r="P164" s="479">
        <v>38</v>
      </c>
      <c r="Q164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64" s="480">
        <f>IF(Tabela1154[[#This Row],[Percentual CONCLUINTES - Escola de Inovadores 2024 2°Semestre]]&gt;0,Tabela1154[[#This Row],[Percentual CONCLUINTES - Escola de Inovadores 2024 2°Semestre]]*0.4,0)</f>
        <v>0</v>
      </c>
      <c r="S164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64" s="481">
        <f t="shared" si="2"/>
        <v>0</v>
      </c>
    </row>
    <row r="165" spans="1:20">
      <c r="A165" s="472">
        <v>211</v>
      </c>
      <c r="B165" s="492" t="s">
        <v>76</v>
      </c>
      <c r="C165" s="473">
        <v>1111</v>
      </c>
      <c r="D165" s="474">
        <f>Tabela1154[[#This Row],[MATRICULADOS 1° Semestre 2024]]*0.075</f>
        <v>83.325000000000003</v>
      </c>
      <c r="E165" s="475">
        <v>182</v>
      </c>
      <c r="F165" s="476">
        <f>IF(Tabela1154[[#This Row],[INSCRITOS - Escola de Inovadores - 1° Semestre 2024]]&lt;Tabela1154[[#This Row],[Linha de Base (7,5%) 1°Semestre]],0,1)</f>
        <v>1</v>
      </c>
      <c r="G165" s="477">
        <f>IF(Tabela1154[[#This Row],[Percentual INSCRITOS - Escola de Inovadores - 2024]]&gt;0,Tabela1154[[#This Row],[Percentual INSCRITOS - Escola de Inovadores - 2024]]*0.6,0)</f>
        <v>0.6</v>
      </c>
      <c r="H165" s="475">
        <v>99</v>
      </c>
      <c r="I165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165" s="476">
        <f>IF(Tabela1154[[#This Row],[X = Percentual de inscritos na escola de inovadores para o cumprimento de meta ( Peso 0,60)]]=0, 0, Tabela1154[[#This Row],[Percentual CONCLUINTES - Escola de Inovadores 2024]]*0.4)</f>
        <v>0.4</v>
      </c>
      <c r="K165" s="473">
        <v>429</v>
      </c>
      <c r="L165" s="478">
        <f>Tabela1154[[#This Row],[Matriculados 2°Semestre em Curso]]*0.075</f>
        <v>32.174999999999997</v>
      </c>
      <c r="M165" s="479">
        <v>20</v>
      </c>
      <c r="N165" s="480">
        <f>IF(Tabela1154[[#This Row],[INSCRITOS - Escola de Inovadores - 2°Semestre 2024]]&lt;Tabela1154[[#This Row],[Linha de Base (7,5%) 2°Semestre]], 0,1)</f>
        <v>0</v>
      </c>
      <c r="O165" s="480">
        <f>IF(Tabela1154[[#This Row],[Taxa de Inscritos 2° Semestre 2024]]&gt;0,Tabela1154[[#This Row],[Taxa de Inscritos 2° Semestre 2024]]*0.6,0)</f>
        <v>0</v>
      </c>
      <c r="P165" s="479">
        <v>2</v>
      </c>
      <c r="Q165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65" s="480">
        <f>IF(Tabela1154[[#This Row],[Percentual CONCLUINTES - Escola de Inovadores 2024 2°Semestre]]&gt;0,Tabela1154[[#This Row],[Percentual CONCLUINTES - Escola de Inovadores 2024 2°Semestre]]*0.4,0)</f>
        <v>0</v>
      </c>
      <c r="S165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165" s="481">
        <f t="shared" si="2"/>
        <v>0.6</v>
      </c>
    </row>
    <row r="166" spans="1:20" ht="30">
      <c r="A166" s="472">
        <v>212</v>
      </c>
      <c r="B166" s="492" t="s">
        <v>15</v>
      </c>
      <c r="C166" s="473">
        <v>442</v>
      </c>
      <c r="D166" s="474">
        <f>Tabela1154[[#This Row],[MATRICULADOS 1° Semestre 2024]]*0.075</f>
        <v>33.15</v>
      </c>
      <c r="E166" s="475">
        <v>349</v>
      </c>
      <c r="F166" s="476">
        <f>IF(Tabela1154[[#This Row],[INSCRITOS - Escola de Inovadores - 1° Semestre 2024]]&lt;Tabela1154[[#This Row],[Linha de Base (7,5%) 1°Semestre]],0,1)</f>
        <v>1</v>
      </c>
      <c r="G166" s="477">
        <f>IF(Tabela1154[[#This Row],[Percentual INSCRITOS - Escola de Inovadores - 2024]]&gt;0,Tabela1154[[#This Row],[Percentual INSCRITOS - Escola de Inovadores - 2024]]*0.6,0)</f>
        <v>0.6</v>
      </c>
      <c r="H166" s="475">
        <v>15</v>
      </c>
      <c r="I166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0.45248868778280543</v>
      </c>
      <c r="J166" s="476">
        <f>IF(Tabela1154[[#This Row],[X = Percentual de inscritos na escola de inovadores para o cumprimento de meta ( Peso 0,60)]]=0, 0, Tabela1154[[#This Row],[Percentual CONCLUINTES - Escola de Inovadores 2024]]*0.4)</f>
        <v>0.1809954751131222</v>
      </c>
      <c r="K166" s="473">
        <v>441</v>
      </c>
      <c r="L166" s="478">
        <f>Tabela1154[[#This Row],[Matriculados 2°Semestre em Curso]]*0.075</f>
        <v>33.074999999999996</v>
      </c>
      <c r="M166" s="479">
        <v>55</v>
      </c>
      <c r="N166" s="480">
        <f>IF(Tabela1154[[#This Row],[INSCRITOS - Escola de Inovadores - 2°Semestre 2024]]&lt;Tabela1154[[#This Row],[Linha de Base (7,5%) 2°Semestre]], 0,1)</f>
        <v>1</v>
      </c>
      <c r="O166" s="480">
        <f>IF(Tabela1154[[#This Row],[Taxa de Inscritos 2° Semestre 2024]]&gt;0,Tabela1154[[#This Row],[Taxa de Inscritos 2° Semestre 2024]]*0.6,0)</f>
        <v>0.6</v>
      </c>
      <c r="P166" s="479">
        <v>18</v>
      </c>
      <c r="Q166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0.54421768707482998</v>
      </c>
      <c r="R166" s="480">
        <f>IF(Tabela1154[[#This Row],[Percentual CONCLUINTES - Escola de Inovadores 2024 2°Semestre]]&gt;0,Tabela1154[[#This Row],[Percentual CONCLUINTES - Escola de Inovadores 2024 2°Semestre]]*0.4,0)</f>
        <v>0.21768707482993199</v>
      </c>
      <c r="S166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0.79934127497152707</v>
      </c>
      <c r="T166" s="481">
        <f t="shared" si="2"/>
        <v>0.8</v>
      </c>
    </row>
    <row r="167" spans="1:20">
      <c r="A167" s="472">
        <v>213</v>
      </c>
      <c r="B167" s="492" t="s">
        <v>78</v>
      </c>
      <c r="C167" s="473">
        <v>439</v>
      </c>
      <c r="D167" s="474">
        <f>Tabela1154[[#This Row],[MATRICULADOS 1° Semestre 2024]]*0.075</f>
        <v>32.924999999999997</v>
      </c>
      <c r="E167" s="475">
        <v>67</v>
      </c>
      <c r="F167" s="476">
        <f>IF(Tabela1154[[#This Row],[INSCRITOS - Escola de Inovadores - 1° Semestre 2024]]&lt;Tabela1154[[#This Row],[Linha de Base (7,5%) 1°Semestre]],0,1)</f>
        <v>1</v>
      </c>
      <c r="G167" s="477">
        <f>IF(Tabela1154[[#This Row],[Percentual INSCRITOS - Escola de Inovadores - 2024]]&gt;0,Tabela1154[[#This Row],[Percentual INSCRITOS - Escola de Inovadores - 2024]]*0.6,0)</f>
        <v>0.6</v>
      </c>
      <c r="H167" s="475">
        <v>6</v>
      </c>
      <c r="I167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0.18223234624145787</v>
      </c>
      <c r="J167" s="476">
        <f>IF(Tabela1154[[#This Row],[X = Percentual de inscritos na escola de inovadores para o cumprimento de meta ( Peso 0,60)]]=0, 0, Tabela1154[[#This Row],[Percentual CONCLUINTES - Escola de Inovadores 2024]]*0.4)</f>
        <v>7.2892938496583154E-2</v>
      </c>
      <c r="K167" s="473">
        <v>424</v>
      </c>
      <c r="L167" s="478">
        <f>Tabela1154[[#This Row],[Matriculados 2°Semestre em Curso]]*0.075</f>
        <v>31.799999999999997</v>
      </c>
      <c r="M167" s="479">
        <v>13</v>
      </c>
      <c r="N167" s="480">
        <f>IF(Tabela1154[[#This Row],[INSCRITOS - Escola de Inovadores - 2°Semestre 2024]]&lt;Tabela1154[[#This Row],[Linha de Base (7,5%) 2°Semestre]], 0,1)</f>
        <v>0</v>
      </c>
      <c r="O167" s="480">
        <f>IF(Tabela1154[[#This Row],[Taxa de Inscritos 2° Semestre 2024]]&gt;0,Tabela1154[[#This Row],[Taxa de Inscritos 2° Semestre 2024]]*0.6,0)</f>
        <v>0</v>
      </c>
      <c r="P167" s="479">
        <v>1</v>
      </c>
      <c r="Q167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67" s="480">
        <f>IF(Tabela1154[[#This Row],[Percentual CONCLUINTES - Escola de Inovadores 2024 2°Semestre]]&gt;0,Tabela1154[[#This Row],[Percentual CONCLUINTES - Escola de Inovadores 2024 2°Semestre]]*0.4,0)</f>
        <v>0</v>
      </c>
      <c r="S167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0.33644646924829158</v>
      </c>
      <c r="T167" s="481">
        <f t="shared" si="2"/>
        <v>0</v>
      </c>
    </row>
    <row r="168" spans="1:20">
      <c r="A168" s="472">
        <v>214</v>
      </c>
      <c r="B168" s="492" t="s">
        <v>8</v>
      </c>
      <c r="C168" s="473">
        <v>493</v>
      </c>
      <c r="D168" s="474">
        <f>Tabela1154[[#This Row],[MATRICULADOS 1° Semestre 2024]]*0.075</f>
        <v>36.975000000000001</v>
      </c>
      <c r="E168" s="475">
        <v>54</v>
      </c>
      <c r="F168" s="476">
        <f>IF(Tabela1154[[#This Row],[INSCRITOS - Escola de Inovadores - 1° Semestre 2024]]&lt;Tabela1154[[#This Row],[Linha de Base (7,5%) 1°Semestre]],0,1)</f>
        <v>1</v>
      </c>
      <c r="G168" s="477">
        <f>IF(Tabela1154[[#This Row],[Percentual INSCRITOS - Escola de Inovadores - 2024]]&gt;0,Tabela1154[[#This Row],[Percentual INSCRITOS - Escola de Inovadores - 2024]]*0.6,0)</f>
        <v>0.6</v>
      </c>
      <c r="H168" s="475">
        <v>10</v>
      </c>
      <c r="I168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0.27045300878972278</v>
      </c>
      <c r="J168" s="476">
        <f>IF(Tabela1154[[#This Row],[X = Percentual de inscritos na escola de inovadores para o cumprimento de meta ( Peso 0,60)]]=0, 0, Tabela1154[[#This Row],[Percentual CONCLUINTES - Escola de Inovadores 2024]]*0.4)</f>
        <v>0.10818120351588911</v>
      </c>
      <c r="K168" s="473">
        <v>440</v>
      </c>
      <c r="L168" s="478">
        <f>Tabela1154[[#This Row],[Matriculados 2°Semestre em Curso]]*0.075</f>
        <v>33</v>
      </c>
      <c r="M168" s="479">
        <v>36</v>
      </c>
      <c r="N168" s="480">
        <f>IF(Tabela1154[[#This Row],[INSCRITOS - Escola de Inovadores - 2°Semestre 2024]]&lt;Tabela1154[[#This Row],[Linha de Base (7,5%) 2°Semestre]], 0,1)</f>
        <v>1</v>
      </c>
      <c r="O168" s="480">
        <f>IF(Tabela1154[[#This Row],[Taxa de Inscritos 2° Semestre 2024]]&gt;0,Tabela1154[[#This Row],[Taxa de Inscritos 2° Semestre 2024]]*0.6,0)</f>
        <v>0.6</v>
      </c>
      <c r="P168" s="479">
        <v>4</v>
      </c>
      <c r="Q168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0.12121212121212122</v>
      </c>
      <c r="R168" s="480">
        <f>IF(Tabela1154[[#This Row],[Percentual CONCLUINTES - Escola de Inovadores 2024 2°Semestre]]&gt;0,Tabela1154[[#This Row],[Percentual CONCLUINTES - Escola de Inovadores 2024 2°Semestre]]*0.4,0)</f>
        <v>4.8484848484848492E-2</v>
      </c>
      <c r="S168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0.67833302600036882</v>
      </c>
      <c r="T168" s="481">
        <f t="shared" si="2"/>
        <v>0.7</v>
      </c>
    </row>
    <row r="169" spans="1:20">
      <c r="A169" s="472">
        <v>215</v>
      </c>
      <c r="B169" s="492" t="s">
        <v>104</v>
      </c>
      <c r="C169" s="473">
        <v>485</v>
      </c>
      <c r="D169" s="474">
        <f>Tabela1154[[#This Row],[MATRICULADOS 1° Semestre 2024]]*0.075</f>
        <v>36.375</v>
      </c>
      <c r="E169" s="475">
        <v>110</v>
      </c>
      <c r="F169" s="476">
        <f>IF(Tabela1154[[#This Row],[INSCRITOS - Escola de Inovadores - 1° Semestre 2024]]&lt;Tabela1154[[#This Row],[Linha de Base (7,5%) 1°Semestre]],0,1)</f>
        <v>1</v>
      </c>
      <c r="G169" s="477">
        <f>IF(Tabela1154[[#This Row],[Percentual INSCRITOS - Escola de Inovadores - 2024]]&gt;0,Tabela1154[[#This Row],[Percentual INSCRITOS - Escola de Inovadores - 2024]]*0.6,0)</f>
        <v>0.6</v>
      </c>
      <c r="H169" s="475">
        <v>99</v>
      </c>
      <c r="I169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169" s="476">
        <f>IF(Tabela1154[[#This Row],[X = Percentual de inscritos na escola de inovadores para o cumprimento de meta ( Peso 0,60)]]=0, 0, Tabela1154[[#This Row],[Percentual CONCLUINTES - Escola de Inovadores 2024]]*0.4)</f>
        <v>0.4</v>
      </c>
      <c r="K169" s="473">
        <v>604</v>
      </c>
      <c r="L169" s="478">
        <f>Tabela1154[[#This Row],[Matriculados 2°Semestre em Curso]]*0.075</f>
        <v>45.3</v>
      </c>
      <c r="M169" s="479">
        <v>0</v>
      </c>
      <c r="N169" s="480">
        <f>IF(Tabela1154[[#This Row],[INSCRITOS - Escola de Inovadores - 2°Semestre 2024]]&lt;Tabela1154[[#This Row],[Linha de Base (7,5%) 2°Semestre]], 0,1)</f>
        <v>0</v>
      </c>
      <c r="O169" s="480">
        <f>IF(Tabela1154[[#This Row],[Taxa de Inscritos 2° Semestre 2024]]&gt;0,Tabela1154[[#This Row],[Taxa de Inscritos 2° Semestre 2024]]*0.6,0)</f>
        <v>0</v>
      </c>
      <c r="P169" s="479">
        <v>0</v>
      </c>
      <c r="Q169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69" s="480">
        <f>IF(Tabela1154[[#This Row],[Percentual CONCLUINTES - Escola de Inovadores 2024 2°Semestre]]&gt;0,Tabela1154[[#This Row],[Percentual CONCLUINTES - Escola de Inovadores 2024 2°Semestre]]*0.4,0)</f>
        <v>0</v>
      </c>
      <c r="S169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169" s="481">
        <f t="shared" si="2"/>
        <v>0.6</v>
      </c>
    </row>
    <row r="170" spans="1:20">
      <c r="A170" s="472">
        <v>218</v>
      </c>
      <c r="B170" s="492" t="s">
        <v>192</v>
      </c>
      <c r="C170" s="473">
        <v>578</v>
      </c>
      <c r="D170" s="474">
        <f>Tabela1154[[#This Row],[MATRICULADOS 1° Semestre 2024]]*0.075</f>
        <v>43.35</v>
      </c>
      <c r="E170" s="475">
        <v>74</v>
      </c>
      <c r="F170" s="476">
        <f>IF(Tabela1154[[#This Row],[INSCRITOS - Escola de Inovadores - 1° Semestre 2024]]&lt;Tabela1154[[#This Row],[Linha de Base (7,5%) 1°Semestre]],0,1)</f>
        <v>1</v>
      </c>
      <c r="G170" s="477">
        <f>IF(Tabela1154[[#This Row],[Percentual INSCRITOS - Escola de Inovadores - 2024]]&gt;0,Tabela1154[[#This Row],[Percentual INSCRITOS - Escola de Inovadores - 2024]]*0.6,0)</f>
        <v>0.6</v>
      </c>
      <c r="H170" s="475">
        <v>35</v>
      </c>
      <c r="I170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0.8073817762399077</v>
      </c>
      <c r="J170" s="476">
        <f>IF(Tabela1154[[#This Row],[X = Percentual de inscritos na escola de inovadores para o cumprimento de meta ( Peso 0,60)]]=0, 0, Tabela1154[[#This Row],[Percentual CONCLUINTES - Escola de Inovadores 2024]]*0.4)</f>
        <v>0.32295271049596308</v>
      </c>
      <c r="K170" s="473">
        <v>353</v>
      </c>
      <c r="L170" s="478">
        <f>Tabela1154[[#This Row],[Matriculados 2°Semestre em Curso]]*0.075</f>
        <v>26.474999999999998</v>
      </c>
      <c r="M170" s="479">
        <v>1</v>
      </c>
      <c r="N170" s="480">
        <f>IF(Tabela1154[[#This Row],[INSCRITOS - Escola de Inovadores - 2°Semestre 2024]]&lt;Tabela1154[[#This Row],[Linha de Base (7,5%) 2°Semestre]], 0,1)</f>
        <v>0</v>
      </c>
      <c r="O170" s="480">
        <f>IF(Tabela1154[[#This Row],[Taxa de Inscritos 2° Semestre 2024]]&gt;0,Tabela1154[[#This Row],[Taxa de Inscritos 2° Semestre 2024]]*0.6,0)</f>
        <v>0</v>
      </c>
      <c r="P170" s="479">
        <v>0</v>
      </c>
      <c r="Q170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70" s="480">
        <f>IF(Tabela1154[[#This Row],[Percentual CONCLUINTES - Escola de Inovadores 2024 2°Semestre]]&gt;0,Tabela1154[[#This Row],[Percentual CONCLUINTES - Escola de Inovadores 2024 2°Semestre]]*0.4,0)</f>
        <v>0</v>
      </c>
      <c r="S170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0.46147635524798153</v>
      </c>
      <c r="T170" s="481">
        <f t="shared" si="2"/>
        <v>0.5</v>
      </c>
    </row>
    <row r="171" spans="1:20">
      <c r="A171" s="472">
        <v>219</v>
      </c>
      <c r="B171" s="492" t="s">
        <v>80</v>
      </c>
      <c r="C171" s="473">
        <v>380</v>
      </c>
      <c r="D171" s="474">
        <f>Tabela1154[[#This Row],[MATRICULADOS 1° Semestre 2024]]*0.075</f>
        <v>28.5</v>
      </c>
      <c r="E171" s="475">
        <v>59</v>
      </c>
      <c r="F171" s="476">
        <f>IF(Tabela1154[[#This Row],[INSCRITOS - Escola de Inovadores - 1° Semestre 2024]]&lt;Tabela1154[[#This Row],[Linha de Base (7,5%) 1°Semestre]],0,1)</f>
        <v>1</v>
      </c>
      <c r="G171" s="477">
        <f>IF(Tabela1154[[#This Row],[Percentual INSCRITOS - Escola de Inovadores - 2024]]&gt;0,Tabela1154[[#This Row],[Percentual INSCRITOS - Escola de Inovadores - 2024]]*0.6,0)</f>
        <v>0.6</v>
      </c>
      <c r="H171" s="475">
        <v>17</v>
      </c>
      <c r="I171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0.59649122807017541</v>
      </c>
      <c r="J171" s="476">
        <f>IF(Tabela1154[[#This Row],[X = Percentual de inscritos na escola de inovadores para o cumprimento de meta ( Peso 0,60)]]=0, 0, Tabela1154[[#This Row],[Percentual CONCLUINTES - Escola de Inovadores 2024]]*0.4)</f>
        <v>0.23859649122807017</v>
      </c>
      <c r="K171" s="473">
        <v>1227</v>
      </c>
      <c r="L171" s="478">
        <f>Tabela1154[[#This Row],[Matriculados 2°Semestre em Curso]]*0.075</f>
        <v>92.024999999999991</v>
      </c>
      <c r="M171" s="479">
        <v>0</v>
      </c>
      <c r="N171" s="480">
        <f>IF(Tabela1154[[#This Row],[INSCRITOS - Escola de Inovadores - 2°Semestre 2024]]&lt;Tabela1154[[#This Row],[Linha de Base (7,5%) 2°Semestre]], 0,1)</f>
        <v>0</v>
      </c>
      <c r="O171" s="480">
        <f>IF(Tabela1154[[#This Row],[Taxa de Inscritos 2° Semestre 2024]]&gt;0,Tabela1154[[#This Row],[Taxa de Inscritos 2° Semestre 2024]]*0.6,0)</f>
        <v>0</v>
      </c>
      <c r="P171" s="479">
        <v>0</v>
      </c>
      <c r="Q171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71" s="480">
        <f>IF(Tabela1154[[#This Row],[Percentual CONCLUINTES - Escola de Inovadores 2024 2°Semestre]]&gt;0,Tabela1154[[#This Row],[Percentual CONCLUINTES - Escola de Inovadores 2024 2°Semestre]]*0.4,0)</f>
        <v>0</v>
      </c>
      <c r="S171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0.41929824561403506</v>
      </c>
      <c r="T171" s="481">
        <f t="shared" si="2"/>
        <v>0.5</v>
      </c>
    </row>
    <row r="172" spans="1:20">
      <c r="A172" s="472">
        <v>220</v>
      </c>
      <c r="B172" s="492" t="s">
        <v>50</v>
      </c>
      <c r="C172" s="473">
        <v>1349</v>
      </c>
      <c r="D172" s="474">
        <f>Tabela1154[[#This Row],[MATRICULADOS 1° Semestre 2024]]*0.075</f>
        <v>101.175</v>
      </c>
      <c r="E172" s="475">
        <v>73</v>
      </c>
      <c r="F172" s="476">
        <f>IF(Tabela1154[[#This Row],[INSCRITOS - Escola de Inovadores - 1° Semestre 2024]]&lt;Tabela1154[[#This Row],[Linha de Base (7,5%) 1°Semestre]],0,1)</f>
        <v>0</v>
      </c>
      <c r="G172" s="477">
        <f>IF(Tabela1154[[#This Row],[Percentual INSCRITOS - Escola de Inovadores - 2024]]&gt;0,Tabela1154[[#This Row],[Percentual INSCRITOS - Escola de Inovadores - 2024]]*0.6,0)</f>
        <v>0</v>
      </c>
      <c r="H172" s="475">
        <v>0</v>
      </c>
      <c r="I172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72" s="476">
        <f>IF(Tabela1154[[#This Row],[X = Percentual de inscritos na escola de inovadores para o cumprimento de meta ( Peso 0,60)]]=0, 0, Tabela1154[[#This Row],[Percentual CONCLUINTES - Escola de Inovadores 2024]]*0.4)</f>
        <v>0</v>
      </c>
      <c r="K172" s="473">
        <v>862</v>
      </c>
      <c r="L172" s="478">
        <f>Tabela1154[[#This Row],[Matriculados 2°Semestre em Curso]]*0.075</f>
        <v>64.649999999999991</v>
      </c>
      <c r="M172" s="479">
        <v>56</v>
      </c>
      <c r="N172" s="480">
        <f>IF(Tabela1154[[#This Row],[INSCRITOS - Escola de Inovadores - 2°Semestre 2024]]&lt;Tabela1154[[#This Row],[Linha de Base (7,5%) 2°Semestre]], 0,1)</f>
        <v>0</v>
      </c>
      <c r="O172" s="480">
        <f>IF(Tabela1154[[#This Row],[Taxa de Inscritos 2° Semestre 2024]]&gt;0,Tabela1154[[#This Row],[Taxa de Inscritos 2° Semestre 2024]]*0.6,0)</f>
        <v>0</v>
      </c>
      <c r="P172" s="479">
        <v>10</v>
      </c>
      <c r="Q172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72" s="480">
        <f>IF(Tabela1154[[#This Row],[Percentual CONCLUINTES - Escola de Inovadores 2024 2°Semestre]]&gt;0,Tabela1154[[#This Row],[Percentual CONCLUINTES - Escola de Inovadores 2024 2°Semestre]]*0.4,0)</f>
        <v>0</v>
      </c>
      <c r="S172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72" s="481">
        <f t="shared" si="2"/>
        <v>0</v>
      </c>
    </row>
    <row r="173" spans="1:20">
      <c r="A173" s="472">
        <v>221</v>
      </c>
      <c r="B173" s="492" t="s">
        <v>91</v>
      </c>
      <c r="C173" s="473">
        <v>894</v>
      </c>
      <c r="D173" s="474">
        <f>Tabela1154[[#This Row],[MATRICULADOS 1° Semestre 2024]]*0.075</f>
        <v>67.05</v>
      </c>
      <c r="E173" s="475">
        <v>5</v>
      </c>
      <c r="F173" s="476">
        <f>IF(Tabela1154[[#This Row],[INSCRITOS - Escola de Inovadores - 1° Semestre 2024]]&lt;Tabela1154[[#This Row],[Linha de Base (7,5%) 1°Semestre]],0,1)</f>
        <v>0</v>
      </c>
      <c r="G173" s="477">
        <f>IF(Tabela1154[[#This Row],[Percentual INSCRITOS - Escola de Inovadores - 2024]]&gt;0,Tabela1154[[#This Row],[Percentual INSCRITOS - Escola de Inovadores - 2024]]*0.6,0)</f>
        <v>0</v>
      </c>
      <c r="H173" s="475">
        <v>0</v>
      </c>
      <c r="I173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73" s="476">
        <f>IF(Tabela1154[[#This Row],[X = Percentual de inscritos na escola de inovadores para o cumprimento de meta ( Peso 0,60)]]=0, 0, Tabela1154[[#This Row],[Percentual CONCLUINTES - Escola de Inovadores 2024]]*0.4)</f>
        <v>0</v>
      </c>
      <c r="K173" s="473">
        <v>529</v>
      </c>
      <c r="L173" s="478">
        <f>Tabela1154[[#This Row],[Matriculados 2°Semestre em Curso]]*0.075</f>
        <v>39.674999999999997</v>
      </c>
      <c r="M173" s="479">
        <v>2</v>
      </c>
      <c r="N173" s="480">
        <f>IF(Tabela1154[[#This Row],[INSCRITOS - Escola de Inovadores - 2°Semestre 2024]]&lt;Tabela1154[[#This Row],[Linha de Base (7,5%) 2°Semestre]], 0,1)</f>
        <v>0</v>
      </c>
      <c r="O173" s="480">
        <f>IF(Tabela1154[[#This Row],[Taxa de Inscritos 2° Semestre 2024]]&gt;0,Tabela1154[[#This Row],[Taxa de Inscritos 2° Semestre 2024]]*0.6,0)</f>
        <v>0</v>
      </c>
      <c r="P173" s="479">
        <v>0</v>
      </c>
      <c r="Q173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73" s="480">
        <f>IF(Tabela1154[[#This Row],[Percentual CONCLUINTES - Escola de Inovadores 2024 2°Semestre]]&gt;0,Tabela1154[[#This Row],[Percentual CONCLUINTES - Escola de Inovadores 2024 2°Semestre]]*0.4,0)</f>
        <v>0</v>
      </c>
      <c r="S173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73" s="481">
        <f t="shared" si="2"/>
        <v>0</v>
      </c>
    </row>
    <row r="174" spans="1:20">
      <c r="A174" s="472">
        <v>222</v>
      </c>
      <c r="B174" s="492" t="s">
        <v>46</v>
      </c>
      <c r="C174" s="473">
        <v>531</v>
      </c>
      <c r="D174" s="474">
        <f>Tabela1154[[#This Row],[MATRICULADOS 1° Semestre 2024]]*0.075</f>
        <v>39.824999999999996</v>
      </c>
      <c r="E174" s="475">
        <v>20</v>
      </c>
      <c r="F174" s="476">
        <f>IF(Tabela1154[[#This Row],[INSCRITOS - Escola de Inovadores - 1° Semestre 2024]]&lt;Tabela1154[[#This Row],[Linha de Base (7,5%) 1°Semestre]],0,1)</f>
        <v>0</v>
      </c>
      <c r="G174" s="477">
        <f>IF(Tabela1154[[#This Row],[Percentual INSCRITOS - Escola de Inovadores - 2024]]&gt;0,Tabela1154[[#This Row],[Percentual INSCRITOS - Escola de Inovadores - 2024]]*0.6,0)</f>
        <v>0</v>
      </c>
      <c r="H174" s="475">
        <v>4</v>
      </c>
      <c r="I174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74" s="476">
        <f>IF(Tabela1154[[#This Row],[X = Percentual de inscritos na escola de inovadores para o cumprimento de meta ( Peso 0,60)]]=0, 0, Tabela1154[[#This Row],[Percentual CONCLUINTES - Escola de Inovadores 2024]]*0.4)</f>
        <v>0</v>
      </c>
      <c r="K174" s="473">
        <v>340</v>
      </c>
      <c r="L174" s="478">
        <f>Tabela1154[[#This Row],[Matriculados 2°Semestre em Curso]]*0.075</f>
        <v>25.5</v>
      </c>
      <c r="M174" s="479">
        <v>2</v>
      </c>
      <c r="N174" s="480">
        <f>IF(Tabela1154[[#This Row],[INSCRITOS - Escola de Inovadores - 2°Semestre 2024]]&lt;Tabela1154[[#This Row],[Linha de Base (7,5%) 2°Semestre]], 0,1)</f>
        <v>0</v>
      </c>
      <c r="O174" s="480">
        <f>IF(Tabela1154[[#This Row],[Taxa de Inscritos 2° Semestre 2024]]&gt;0,Tabela1154[[#This Row],[Taxa de Inscritos 2° Semestre 2024]]*0.6,0)</f>
        <v>0</v>
      </c>
      <c r="P174" s="479">
        <v>0</v>
      </c>
      <c r="Q174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74" s="480">
        <f>IF(Tabela1154[[#This Row],[Percentual CONCLUINTES - Escola de Inovadores 2024 2°Semestre]]&gt;0,Tabela1154[[#This Row],[Percentual CONCLUINTES - Escola de Inovadores 2024 2°Semestre]]*0.4,0)</f>
        <v>0</v>
      </c>
      <c r="S174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74" s="481">
        <f t="shared" si="2"/>
        <v>0</v>
      </c>
    </row>
    <row r="175" spans="1:20">
      <c r="A175" s="472">
        <v>223</v>
      </c>
      <c r="B175" s="492" t="s">
        <v>54</v>
      </c>
      <c r="C175" s="473">
        <v>383</v>
      </c>
      <c r="D175" s="474">
        <f>Tabela1154[[#This Row],[MATRICULADOS 1° Semestre 2024]]*0.075</f>
        <v>28.724999999999998</v>
      </c>
      <c r="E175" s="475">
        <v>13</v>
      </c>
      <c r="F175" s="476">
        <f>IF(Tabela1154[[#This Row],[INSCRITOS - Escola de Inovadores - 1° Semestre 2024]]&lt;Tabela1154[[#This Row],[Linha de Base (7,5%) 1°Semestre]],0,1)</f>
        <v>0</v>
      </c>
      <c r="G175" s="477">
        <f>IF(Tabela1154[[#This Row],[Percentual INSCRITOS - Escola de Inovadores - 2024]]&gt;0,Tabela1154[[#This Row],[Percentual INSCRITOS - Escola de Inovadores - 2024]]*0.6,0)</f>
        <v>0</v>
      </c>
      <c r="H175" s="475">
        <v>1</v>
      </c>
      <c r="I175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75" s="476">
        <f>IF(Tabela1154[[#This Row],[X = Percentual de inscritos na escola de inovadores para o cumprimento de meta ( Peso 0,60)]]=0, 0, Tabela1154[[#This Row],[Percentual CONCLUINTES - Escola de Inovadores 2024]]*0.4)</f>
        <v>0</v>
      </c>
      <c r="K175" s="473">
        <v>655</v>
      </c>
      <c r="L175" s="478">
        <f>Tabela1154[[#This Row],[Matriculados 2°Semestre em Curso]]*0.075</f>
        <v>49.125</v>
      </c>
      <c r="M175" s="479">
        <v>9</v>
      </c>
      <c r="N175" s="480">
        <f>IF(Tabela1154[[#This Row],[INSCRITOS - Escola de Inovadores - 2°Semestre 2024]]&lt;Tabela1154[[#This Row],[Linha de Base (7,5%) 2°Semestre]], 0,1)</f>
        <v>0</v>
      </c>
      <c r="O175" s="480">
        <f>IF(Tabela1154[[#This Row],[Taxa de Inscritos 2° Semestre 2024]]&gt;0,Tabela1154[[#This Row],[Taxa de Inscritos 2° Semestre 2024]]*0.6,0)</f>
        <v>0</v>
      </c>
      <c r="P175" s="479">
        <v>0</v>
      </c>
      <c r="Q175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75" s="480">
        <f>IF(Tabela1154[[#This Row],[Percentual CONCLUINTES - Escola de Inovadores 2024 2°Semestre]]&gt;0,Tabela1154[[#This Row],[Percentual CONCLUINTES - Escola de Inovadores 2024 2°Semestre]]*0.4,0)</f>
        <v>0</v>
      </c>
      <c r="S175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75" s="481">
        <f t="shared" si="2"/>
        <v>0</v>
      </c>
    </row>
    <row r="176" spans="1:20">
      <c r="A176" s="472">
        <v>224</v>
      </c>
      <c r="B176" s="492" t="s">
        <v>165</v>
      </c>
      <c r="C176" s="473">
        <v>631</v>
      </c>
      <c r="D176" s="474">
        <f>Tabela1154[[#This Row],[MATRICULADOS 1° Semestre 2024]]*0.075</f>
        <v>47.324999999999996</v>
      </c>
      <c r="E176" s="475">
        <v>5</v>
      </c>
      <c r="F176" s="476">
        <f>IF(Tabela1154[[#This Row],[INSCRITOS - Escola de Inovadores - 1° Semestre 2024]]&lt;Tabela1154[[#This Row],[Linha de Base (7,5%) 1°Semestre]],0,1)</f>
        <v>0</v>
      </c>
      <c r="G176" s="477">
        <f>IF(Tabela1154[[#This Row],[Percentual INSCRITOS - Escola de Inovadores - 2024]]&gt;0,Tabela1154[[#This Row],[Percentual INSCRITOS - Escola de Inovadores - 2024]]*0.6,0)</f>
        <v>0</v>
      </c>
      <c r="H176" s="475">
        <v>0</v>
      </c>
      <c r="I176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76" s="476">
        <f>IF(Tabela1154[[#This Row],[X = Percentual de inscritos na escola de inovadores para o cumprimento de meta ( Peso 0,60)]]=0, 0, Tabela1154[[#This Row],[Percentual CONCLUINTES - Escola de Inovadores 2024]]*0.4)</f>
        <v>0</v>
      </c>
      <c r="K176" s="473">
        <v>668</v>
      </c>
      <c r="L176" s="478">
        <f>Tabela1154[[#This Row],[Matriculados 2°Semestre em Curso]]*0.075</f>
        <v>50.1</v>
      </c>
      <c r="M176" s="479">
        <v>89</v>
      </c>
      <c r="N176" s="480">
        <f>IF(Tabela1154[[#This Row],[INSCRITOS - Escola de Inovadores - 2°Semestre 2024]]&lt;Tabela1154[[#This Row],[Linha de Base (7,5%) 2°Semestre]], 0,1)</f>
        <v>1</v>
      </c>
      <c r="O176" s="480">
        <f>IF(Tabela1154[[#This Row],[Taxa de Inscritos 2° Semestre 2024]]&gt;0,Tabela1154[[#This Row],[Taxa de Inscritos 2° Semestre 2024]]*0.6,0)</f>
        <v>0.6</v>
      </c>
      <c r="P176" s="479">
        <v>30</v>
      </c>
      <c r="Q176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0.59880239520958078</v>
      </c>
      <c r="R176" s="480">
        <f>IF(Tabela1154[[#This Row],[Percentual CONCLUINTES - Escola de Inovadores 2024 2°Semestre]]&gt;0,Tabela1154[[#This Row],[Percentual CONCLUINTES - Escola de Inovadores 2024 2°Semestre]]*0.4,0)</f>
        <v>0.23952095808383234</v>
      </c>
      <c r="S176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0.41976047904191616</v>
      </c>
      <c r="T176" s="481">
        <f t="shared" si="2"/>
        <v>0.5</v>
      </c>
    </row>
    <row r="177" spans="1:20">
      <c r="A177" s="472">
        <v>225</v>
      </c>
      <c r="B177" s="492" t="s">
        <v>117</v>
      </c>
      <c r="C177" s="473">
        <v>700</v>
      </c>
      <c r="D177" s="474">
        <f>Tabela1154[[#This Row],[MATRICULADOS 1° Semestre 2024]]*0.075</f>
        <v>52.5</v>
      </c>
      <c r="E177" s="475">
        <v>43</v>
      </c>
      <c r="F177" s="476">
        <f>IF(Tabela1154[[#This Row],[INSCRITOS - Escola de Inovadores - 1° Semestre 2024]]&lt;Tabela1154[[#This Row],[Linha de Base (7,5%) 1°Semestre]],0,1)</f>
        <v>0</v>
      </c>
      <c r="G177" s="477">
        <f>IF(Tabela1154[[#This Row],[Percentual INSCRITOS - Escola de Inovadores - 2024]]&gt;0,Tabela1154[[#This Row],[Percentual INSCRITOS - Escola de Inovadores - 2024]]*0.6,0)</f>
        <v>0</v>
      </c>
      <c r="H177" s="475">
        <v>22</v>
      </c>
      <c r="I177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77" s="476">
        <f>IF(Tabela1154[[#This Row],[X = Percentual de inscritos na escola de inovadores para o cumprimento de meta ( Peso 0,60)]]=0, 0, Tabela1154[[#This Row],[Percentual CONCLUINTES - Escola de Inovadores 2024]]*0.4)</f>
        <v>0</v>
      </c>
      <c r="K177" s="473">
        <v>727</v>
      </c>
      <c r="L177" s="478">
        <f>Tabela1154[[#This Row],[Matriculados 2°Semestre em Curso]]*0.075</f>
        <v>54.524999999999999</v>
      </c>
      <c r="M177" s="479">
        <v>34</v>
      </c>
      <c r="N177" s="480">
        <f>IF(Tabela1154[[#This Row],[INSCRITOS - Escola de Inovadores - 2°Semestre 2024]]&lt;Tabela1154[[#This Row],[Linha de Base (7,5%) 2°Semestre]], 0,1)</f>
        <v>0</v>
      </c>
      <c r="O177" s="480">
        <f>IF(Tabela1154[[#This Row],[Taxa de Inscritos 2° Semestre 2024]]&gt;0,Tabela1154[[#This Row],[Taxa de Inscritos 2° Semestre 2024]]*0.6,0)</f>
        <v>0</v>
      </c>
      <c r="P177" s="479">
        <v>11</v>
      </c>
      <c r="Q177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77" s="480">
        <f>IF(Tabela1154[[#This Row],[Percentual CONCLUINTES - Escola de Inovadores 2024 2°Semestre]]&gt;0,Tabela1154[[#This Row],[Percentual CONCLUINTES - Escola de Inovadores 2024 2°Semestre]]*0.4,0)</f>
        <v>0</v>
      </c>
      <c r="S177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77" s="481">
        <f t="shared" si="2"/>
        <v>0</v>
      </c>
    </row>
    <row r="178" spans="1:20">
      <c r="A178" s="472">
        <v>226</v>
      </c>
      <c r="B178" s="492" t="s">
        <v>209</v>
      </c>
      <c r="C178" s="473">
        <v>784</v>
      </c>
      <c r="D178" s="474">
        <f>Tabela1154[[#This Row],[MATRICULADOS 1° Semestre 2024]]*0.075</f>
        <v>58.8</v>
      </c>
      <c r="E178" s="475">
        <v>49</v>
      </c>
      <c r="F178" s="476">
        <f>IF(Tabela1154[[#This Row],[INSCRITOS - Escola de Inovadores - 1° Semestre 2024]]&lt;Tabela1154[[#This Row],[Linha de Base (7,5%) 1°Semestre]],0,1)</f>
        <v>0</v>
      </c>
      <c r="G178" s="477">
        <f>IF(Tabela1154[[#This Row],[Percentual INSCRITOS - Escola de Inovadores - 2024]]&gt;0,Tabela1154[[#This Row],[Percentual INSCRITOS - Escola de Inovadores - 2024]]*0.6,0)</f>
        <v>0</v>
      </c>
      <c r="H178" s="475">
        <v>0</v>
      </c>
      <c r="I178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78" s="476">
        <f>IF(Tabela1154[[#This Row],[X = Percentual de inscritos na escola de inovadores para o cumprimento de meta ( Peso 0,60)]]=0, 0, Tabela1154[[#This Row],[Percentual CONCLUINTES - Escola de Inovadores 2024]]*0.4)</f>
        <v>0</v>
      </c>
      <c r="K178" s="473">
        <v>1038</v>
      </c>
      <c r="L178" s="478">
        <f>Tabela1154[[#This Row],[Matriculados 2°Semestre em Curso]]*0.075</f>
        <v>77.849999999999994</v>
      </c>
      <c r="M178" s="479">
        <v>191</v>
      </c>
      <c r="N178" s="480">
        <f>IF(Tabela1154[[#This Row],[INSCRITOS - Escola de Inovadores - 2°Semestre 2024]]&lt;Tabela1154[[#This Row],[Linha de Base (7,5%) 2°Semestre]], 0,1)</f>
        <v>1</v>
      </c>
      <c r="O178" s="480">
        <f>IF(Tabela1154[[#This Row],[Taxa de Inscritos 2° Semestre 2024]]&gt;0,Tabela1154[[#This Row],[Taxa de Inscritos 2° Semestre 2024]]*0.6,0)</f>
        <v>0.6</v>
      </c>
      <c r="P178" s="479">
        <v>43</v>
      </c>
      <c r="Q178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0.55234425176621715</v>
      </c>
      <c r="R178" s="480">
        <f>IF(Tabela1154[[#This Row],[Percentual CONCLUINTES - Escola de Inovadores 2024 2°Semestre]]&gt;0,Tabela1154[[#This Row],[Percentual CONCLUINTES - Escola de Inovadores 2024 2°Semestre]]*0.4,0)</f>
        <v>0.22093770070648688</v>
      </c>
      <c r="S178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0.41046885035324343</v>
      </c>
      <c r="T178" s="481">
        <f t="shared" si="2"/>
        <v>0.5</v>
      </c>
    </row>
    <row r="179" spans="1:20">
      <c r="A179" s="472">
        <v>227</v>
      </c>
      <c r="B179" s="492" t="s">
        <v>30</v>
      </c>
      <c r="C179" s="473">
        <v>1102</v>
      </c>
      <c r="D179" s="474">
        <f>Tabela1154[[#This Row],[MATRICULADOS 1° Semestre 2024]]*0.075</f>
        <v>82.649999999999991</v>
      </c>
      <c r="E179" s="475">
        <v>19</v>
      </c>
      <c r="F179" s="476">
        <f>IF(Tabela1154[[#This Row],[INSCRITOS - Escola de Inovadores - 1° Semestre 2024]]&lt;Tabela1154[[#This Row],[Linha de Base (7,5%) 1°Semestre]],0,1)</f>
        <v>0</v>
      </c>
      <c r="G179" s="477">
        <f>IF(Tabela1154[[#This Row],[Percentual INSCRITOS - Escola de Inovadores - 2024]]&gt;0,Tabela1154[[#This Row],[Percentual INSCRITOS - Escola de Inovadores - 2024]]*0.6,0)</f>
        <v>0</v>
      </c>
      <c r="H179" s="475">
        <v>0</v>
      </c>
      <c r="I179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79" s="476">
        <f>IF(Tabela1154[[#This Row],[X = Percentual de inscritos na escola de inovadores para o cumprimento de meta ( Peso 0,60)]]=0, 0, Tabela1154[[#This Row],[Percentual CONCLUINTES - Escola de Inovadores 2024]]*0.4)</f>
        <v>0</v>
      </c>
      <c r="K179" s="473">
        <v>1076</v>
      </c>
      <c r="L179" s="478">
        <f>Tabela1154[[#This Row],[Matriculados 2°Semestre em Curso]]*0.075</f>
        <v>80.7</v>
      </c>
      <c r="M179" s="479">
        <v>10</v>
      </c>
      <c r="N179" s="480">
        <f>IF(Tabela1154[[#This Row],[INSCRITOS - Escola de Inovadores - 2°Semestre 2024]]&lt;Tabela1154[[#This Row],[Linha de Base (7,5%) 2°Semestre]], 0,1)</f>
        <v>0</v>
      </c>
      <c r="O179" s="480">
        <f>IF(Tabela1154[[#This Row],[Taxa de Inscritos 2° Semestre 2024]]&gt;0,Tabela1154[[#This Row],[Taxa de Inscritos 2° Semestre 2024]]*0.6,0)</f>
        <v>0</v>
      </c>
      <c r="P179" s="479">
        <v>1</v>
      </c>
      <c r="Q179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79" s="480">
        <f>IF(Tabela1154[[#This Row],[Percentual CONCLUINTES - Escola de Inovadores 2024 2°Semestre]]&gt;0,Tabela1154[[#This Row],[Percentual CONCLUINTES - Escola de Inovadores 2024 2°Semestre]]*0.4,0)</f>
        <v>0</v>
      </c>
      <c r="S179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79" s="481">
        <f t="shared" si="2"/>
        <v>0</v>
      </c>
    </row>
    <row r="180" spans="1:20">
      <c r="A180" s="472">
        <v>228</v>
      </c>
      <c r="B180" s="492" t="s">
        <v>47</v>
      </c>
      <c r="C180" s="473">
        <v>1118</v>
      </c>
      <c r="D180" s="474">
        <f>Tabela1154[[#This Row],[MATRICULADOS 1° Semestre 2024]]*0.075</f>
        <v>83.85</v>
      </c>
      <c r="E180" s="475">
        <v>109</v>
      </c>
      <c r="F180" s="476">
        <f>IF(Tabela1154[[#This Row],[INSCRITOS - Escola de Inovadores - 1° Semestre 2024]]&lt;Tabela1154[[#This Row],[Linha de Base (7,5%) 1°Semestre]],0,1)</f>
        <v>1</v>
      </c>
      <c r="G180" s="477">
        <f>IF(Tabela1154[[#This Row],[Percentual INSCRITOS - Escola de Inovadores - 2024]]&gt;0,Tabela1154[[#This Row],[Percentual INSCRITOS - Escola de Inovadores - 2024]]*0.6,0)</f>
        <v>0.6</v>
      </c>
      <c r="H180" s="475">
        <v>8</v>
      </c>
      <c r="I180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9.5408467501490762E-2</v>
      </c>
      <c r="J180" s="476">
        <f>IF(Tabela1154[[#This Row],[X = Percentual de inscritos na escola de inovadores para o cumprimento de meta ( Peso 0,60)]]=0, 0, Tabela1154[[#This Row],[Percentual CONCLUINTES - Escola de Inovadores 2024]]*0.4)</f>
        <v>3.8163387000596308E-2</v>
      </c>
      <c r="K180" s="473">
        <v>773</v>
      </c>
      <c r="L180" s="478">
        <f>Tabela1154[[#This Row],[Matriculados 2°Semestre em Curso]]*0.075</f>
        <v>57.974999999999994</v>
      </c>
      <c r="M180" s="479">
        <v>55</v>
      </c>
      <c r="N180" s="480">
        <f>IF(Tabela1154[[#This Row],[INSCRITOS - Escola de Inovadores - 2°Semestre 2024]]&lt;Tabela1154[[#This Row],[Linha de Base (7,5%) 2°Semestre]], 0,1)</f>
        <v>0</v>
      </c>
      <c r="O180" s="480">
        <f>IF(Tabela1154[[#This Row],[Taxa de Inscritos 2° Semestre 2024]]&gt;0,Tabela1154[[#This Row],[Taxa de Inscritos 2° Semestre 2024]]*0.6,0)</f>
        <v>0</v>
      </c>
      <c r="P180" s="479">
        <v>49</v>
      </c>
      <c r="Q180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80" s="480">
        <f>IF(Tabela1154[[#This Row],[Percentual CONCLUINTES - Escola de Inovadores 2024 2°Semestre]]&gt;0,Tabela1154[[#This Row],[Percentual CONCLUINTES - Escola de Inovadores 2024 2°Semestre]]*0.4,0)</f>
        <v>0</v>
      </c>
      <c r="S180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0.31908169350029814</v>
      </c>
      <c r="T180" s="481">
        <f t="shared" si="2"/>
        <v>0</v>
      </c>
    </row>
    <row r="181" spans="1:20">
      <c r="A181" s="472">
        <v>229</v>
      </c>
      <c r="B181" s="492" t="s">
        <v>151</v>
      </c>
      <c r="C181" s="473">
        <v>843</v>
      </c>
      <c r="D181" s="474">
        <f>Tabela1154[[#This Row],[MATRICULADOS 1° Semestre 2024]]*0.075</f>
        <v>63.224999999999994</v>
      </c>
      <c r="E181" s="475">
        <v>85</v>
      </c>
      <c r="F181" s="476">
        <f>IF(Tabela1154[[#This Row],[INSCRITOS - Escola de Inovadores - 1° Semestre 2024]]&lt;Tabela1154[[#This Row],[Linha de Base (7,5%) 1°Semestre]],0,1)</f>
        <v>1</v>
      </c>
      <c r="G181" s="477">
        <f>IF(Tabela1154[[#This Row],[Percentual INSCRITOS - Escola de Inovadores - 2024]]&gt;0,Tabela1154[[#This Row],[Percentual INSCRITOS - Escola de Inovadores - 2024]]*0.6,0)</f>
        <v>0.6</v>
      </c>
      <c r="H181" s="475">
        <v>3</v>
      </c>
      <c r="I181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4.7449584816132866E-2</v>
      </c>
      <c r="J181" s="476">
        <f>IF(Tabela1154[[#This Row],[X = Percentual de inscritos na escola de inovadores para o cumprimento de meta ( Peso 0,60)]]=0, 0, Tabela1154[[#This Row],[Percentual CONCLUINTES - Escola de Inovadores 2024]]*0.4)</f>
        <v>1.8979833926453148E-2</v>
      </c>
      <c r="K181" s="473">
        <v>750</v>
      </c>
      <c r="L181" s="478">
        <f>Tabela1154[[#This Row],[Matriculados 2°Semestre em Curso]]*0.075</f>
        <v>56.25</v>
      </c>
      <c r="M181" s="479">
        <v>84</v>
      </c>
      <c r="N181" s="480">
        <f>IF(Tabela1154[[#This Row],[INSCRITOS - Escola de Inovadores - 2°Semestre 2024]]&lt;Tabela1154[[#This Row],[Linha de Base (7,5%) 2°Semestre]], 0,1)</f>
        <v>1</v>
      </c>
      <c r="O181" s="480">
        <f>IF(Tabela1154[[#This Row],[Taxa de Inscritos 2° Semestre 2024]]&gt;0,Tabela1154[[#This Row],[Taxa de Inscritos 2° Semestre 2024]]*0.6,0)</f>
        <v>0.6</v>
      </c>
      <c r="P181" s="479">
        <v>3</v>
      </c>
      <c r="Q181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5.3333333333333337E-2</v>
      </c>
      <c r="R181" s="480">
        <f>IF(Tabela1154[[#This Row],[Percentual CONCLUINTES - Escola de Inovadores 2024 2°Semestre]]&gt;0,Tabela1154[[#This Row],[Percentual CONCLUINTES - Escola de Inovadores 2024 2°Semestre]]*0.4,0)</f>
        <v>2.1333333333333336E-2</v>
      </c>
      <c r="S181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0.62015658362989334</v>
      </c>
      <c r="T181" s="481">
        <f t="shared" si="2"/>
        <v>0.7</v>
      </c>
    </row>
    <row r="182" spans="1:20">
      <c r="A182" s="472">
        <v>230</v>
      </c>
      <c r="B182" s="492" t="s">
        <v>141</v>
      </c>
      <c r="C182" s="473">
        <v>874</v>
      </c>
      <c r="D182" s="474">
        <f>Tabela1154[[#This Row],[MATRICULADOS 1° Semestre 2024]]*0.075</f>
        <v>65.55</v>
      </c>
      <c r="E182" s="475">
        <v>3</v>
      </c>
      <c r="F182" s="476">
        <f>IF(Tabela1154[[#This Row],[INSCRITOS - Escola de Inovadores - 1° Semestre 2024]]&lt;Tabela1154[[#This Row],[Linha de Base (7,5%) 1°Semestre]],0,1)</f>
        <v>0</v>
      </c>
      <c r="G182" s="477">
        <f>IF(Tabela1154[[#This Row],[Percentual INSCRITOS - Escola de Inovadores - 2024]]&gt;0,Tabela1154[[#This Row],[Percentual INSCRITOS - Escola de Inovadores - 2024]]*0.6,0)</f>
        <v>0</v>
      </c>
      <c r="H182" s="475">
        <v>0</v>
      </c>
      <c r="I182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82" s="476">
        <f>IF(Tabela1154[[#This Row],[X = Percentual de inscritos na escola de inovadores para o cumprimento de meta ( Peso 0,60)]]=0, 0, Tabela1154[[#This Row],[Percentual CONCLUINTES - Escola de Inovadores 2024]]*0.4)</f>
        <v>0</v>
      </c>
      <c r="K182" s="473">
        <v>826</v>
      </c>
      <c r="L182" s="478">
        <f>Tabela1154[[#This Row],[Matriculados 2°Semestre em Curso]]*0.075</f>
        <v>61.949999999999996</v>
      </c>
      <c r="M182" s="479">
        <v>62</v>
      </c>
      <c r="N182" s="480">
        <f>IF(Tabela1154[[#This Row],[INSCRITOS - Escola de Inovadores - 2°Semestre 2024]]&lt;Tabela1154[[#This Row],[Linha de Base (7,5%) 2°Semestre]], 0,1)</f>
        <v>1</v>
      </c>
      <c r="O182" s="480">
        <f>IF(Tabela1154[[#This Row],[Taxa de Inscritos 2° Semestre 2024]]&gt;0,Tabela1154[[#This Row],[Taxa de Inscritos 2° Semestre 2024]]*0.6,0)</f>
        <v>0.6</v>
      </c>
      <c r="P182" s="479">
        <v>9</v>
      </c>
      <c r="Q182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0.14527845036319614</v>
      </c>
      <c r="R182" s="480">
        <f>IF(Tabela1154[[#This Row],[Percentual CONCLUINTES - Escola de Inovadores 2024 2°Semestre]]&gt;0,Tabela1154[[#This Row],[Percentual CONCLUINTES - Escola de Inovadores 2024 2°Semestre]]*0.4,0)</f>
        <v>5.811138014527846E-2</v>
      </c>
      <c r="S182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0.32905569007263924</v>
      </c>
      <c r="T182" s="481">
        <f t="shared" si="2"/>
        <v>0</v>
      </c>
    </row>
    <row r="183" spans="1:20">
      <c r="A183" s="472">
        <v>231</v>
      </c>
      <c r="B183" s="492" t="s">
        <v>41</v>
      </c>
      <c r="C183" s="473">
        <v>810</v>
      </c>
      <c r="D183" s="474">
        <f>Tabela1154[[#This Row],[MATRICULADOS 1° Semestre 2024]]*0.075</f>
        <v>60.75</v>
      </c>
      <c r="E183" s="475">
        <v>73</v>
      </c>
      <c r="F183" s="476">
        <f>IF(Tabela1154[[#This Row],[INSCRITOS - Escola de Inovadores - 1° Semestre 2024]]&lt;Tabela1154[[#This Row],[Linha de Base (7,5%) 1°Semestre]],0,1)</f>
        <v>1</v>
      </c>
      <c r="G183" s="477">
        <f>IF(Tabela1154[[#This Row],[Percentual INSCRITOS - Escola de Inovadores - 2024]]&gt;0,Tabela1154[[#This Row],[Percentual INSCRITOS - Escola de Inovadores - 2024]]*0.6,0)</f>
        <v>0.6</v>
      </c>
      <c r="H183" s="475">
        <v>34</v>
      </c>
      <c r="I183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0.55967078189300412</v>
      </c>
      <c r="J183" s="476">
        <f>IF(Tabela1154[[#This Row],[X = Percentual de inscritos na escola de inovadores para o cumprimento de meta ( Peso 0,60)]]=0, 0, Tabela1154[[#This Row],[Percentual CONCLUINTES - Escola de Inovadores 2024]]*0.4)</f>
        <v>0.22386831275720165</v>
      </c>
      <c r="K183" s="473">
        <v>578</v>
      </c>
      <c r="L183" s="478">
        <f>Tabela1154[[#This Row],[Matriculados 2°Semestre em Curso]]*0.075</f>
        <v>43.35</v>
      </c>
      <c r="M183" s="479">
        <v>57</v>
      </c>
      <c r="N183" s="480">
        <f>IF(Tabela1154[[#This Row],[INSCRITOS - Escola de Inovadores - 2°Semestre 2024]]&lt;Tabela1154[[#This Row],[Linha de Base (7,5%) 2°Semestre]], 0,1)</f>
        <v>1</v>
      </c>
      <c r="O183" s="480">
        <f>IF(Tabela1154[[#This Row],[Taxa de Inscritos 2° Semestre 2024]]&gt;0,Tabela1154[[#This Row],[Taxa de Inscritos 2° Semestre 2024]]*0.6,0)</f>
        <v>0.6</v>
      </c>
      <c r="P183" s="479">
        <v>31</v>
      </c>
      <c r="Q183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0.71510957324106106</v>
      </c>
      <c r="R183" s="480">
        <f>IF(Tabela1154[[#This Row],[Percentual CONCLUINTES - Escola de Inovadores 2024 2°Semestre]]&gt;0,Tabela1154[[#This Row],[Percentual CONCLUINTES - Escola de Inovadores 2024 2°Semestre]]*0.4,0)</f>
        <v>0.28604382929642441</v>
      </c>
      <c r="S183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0.85495607102681304</v>
      </c>
      <c r="T183" s="481">
        <f t="shared" si="2"/>
        <v>1</v>
      </c>
    </row>
    <row r="184" spans="1:20">
      <c r="A184" s="472">
        <v>232</v>
      </c>
      <c r="B184" s="492" t="s">
        <v>107</v>
      </c>
      <c r="C184" s="473">
        <v>615</v>
      </c>
      <c r="D184" s="474">
        <f>Tabela1154[[#This Row],[MATRICULADOS 1° Semestre 2024]]*0.075</f>
        <v>46.125</v>
      </c>
      <c r="E184" s="475">
        <v>99</v>
      </c>
      <c r="F184" s="476">
        <f>IF(Tabela1154[[#This Row],[INSCRITOS - Escola de Inovadores - 1° Semestre 2024]]&lt;Tabela1154[[#This Row],[Linha de Base (7,5%) 1°Semestre]],0,1)</f>
        <v>1</v>
      </c>
      <c r="G184" s="477">
        <f>IF(Tabela1154[[#This Row],[Percentual INSCRITOS - Escola de Inovadores - 2024]]&gt;0,Tabela1154[[#This Row],[Percentual INSCRITOS - Escola de Inovadores - 2024]]*0.6,0)</f>
        <v>0.6</v>
      </c>
      <c r="H184" s="475">
        <v>39</v>
      </c>
      <c r="I184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0.84552845528455289</v>
      </c>
      <c r="J184" s="476">
        <f>IF(Tabela1154[[#This Row],[X = Percentual de inscritos na escola de inovadores para o cumprimento de meta ( Peso 0,60)]]=0, 0, Tabela1154[[#This Row],[Percentual CONCLUINTES - Escola de Inovadores 2024]]*0.4)</f>
        <v>0.33821138211382118</v>
      </c>
      <c r="K184" s="473">
        <v>574</v>
      </c>
      <c r="L184" s="478">
        <f>Tabela1154[[#This Row],[Matriculados 2°Semestre em Curso]]*0.075</f>
        <v>43.05</v>
      </c>
      <c r="M184" s="479">
        <v>1</v>
      </c>
      <c r="N184" s="480">
        <f>IF(Tabela1154[[#This Row],[INSCRITOS - Escola de Inovadores - 2°Semestre 2024]]&lt;Tabela1154[[#This Row],[Linha de Base (7,5%) 2°Semestre]], 0,1)</f>
        <v>0</v>
      </c>
      <c r="O184" s="480">
        <f>IF(Tabela1154[[#This Row],[Taxa de Inscritos 2° Semestre 2024]]&gt;0,Tabela1154[[#This Row],[Taxa de Inscritos 2° Semestre 2024]]*0.6,0)</f>
        <v>0</v>
      </c>
      <c r="P184" s="479">
        <v>0</v>
      </c>
      <c r="Q184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84" s="480">
        <f>IF(Tabela1154[[#This Row],[Percentual CONCLUINTES - Escola de Inovadores 2024 2°Semestre]]&gt;0,Tabela1154[[#This Row],[Percentual CONCLUINTES - Escola de Inovadores 2024 2°Semestre]]*0.4,0)</f>
        <v>0</v>
      </c>
      <c r="S184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0.46910569105691058</v>
      </c>
      <c r="T184" s="481">
        <f t="shared" si="2"/>
        <v>0.5</v>
      </c>
    </row>
    <row r="185" spans="1:20">
      <c r="A185" s="472">
        <v>233</v>
      </c>
      <c r="B185" s="492" t="s">
        <v>21</v>
      </c>
      <c r="C185" s="473">
        <v>677</v>
      </c>
      <c r="D185" s="474">
        <f>Tabela1154[[#This Row],[MATRICULADOS 1° Semestre 2024]]*0.075</f>
        <v>50.774999999999999</v>
      </c>
      <c r="E185" s="475">
        <v>1</v>
      </c>
      <c r="F185" s="476">
        <f>IF(Tabela1154[[#This Row],[INSCRITOS - Escola de Inovadores - 1° Semestre 2024]]&lt;Tabela1154[[#This Row],[Linha de Base (7,5%) 1°Semestre]],0,1)</f>
        <v>0</v>
      </c>
      <c r="G185" s="477">
        <f>IF(Tabela1154[[#This Row],[Percentual INSCRITOS - Escola de Inovadores - 2024]]&gt;0,Tabela1154[[#This Row],[Percentual INSCRITOS - Escola de Inovadores - 2024]]*0.6,0)</f>
        <v>0</v>
      </c>
      <c r="H185" s="475">
        <v>0</v>
      </c>
      <c r="I185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85" s="476">
        <f>IF(Tabela1154[[#This Row],[X = Percentual de inscritos na escola de inovadores para o cumprimento de meta ( Peso 0,60)]]=0, 0, Tabela1154[[#This Row],[Percentual CONCLUINTES - Escola de Inovadores 2024]]*0.4)</f>
        <v>0</v>
      </c>
      <c r="K185" s="473">
        <v>819</v>
      </c>
      <c r="L185" s="478">
        <f>Tabela1154[[#This Row],[Matriculados 2°Semestre em Curso]]*0.075</f>
        <v>61.424999999999997</v>
      </c>
      <c r="M185" s="479">
        <v>73</v>
      </c>
      <c r="N185" s="480">
        <f>IF(Tabela1154[[#This Row],[INSCRITOS - Escola de Inovadores - 2°Semestre 2024]]&lt;Tabela1154[[#This Row],[Linha de Base (7,5%) 2°Semestre]], 0,1)</f>
        <v>1</v>
      </c>
      <c r="O185" s="480">
        <f>IF(Tabela1154[[#This Row],[Taxa de Inscritos 2° Semestre 2024]]&gt;0,Tabela1154[[#This Row],[Taxa de Inscritos 2° Semestre 2024]]*0.6,0)</f>
        <v>0.6</v>
      </c>
      <c r="P185" s="479">
        <v>0</v>
      </c>
      <c r="Q185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85" s="480">
        <f>IF(Tabela1154[[#This Row],[Percentual CONCLUINTES - Escola de Inovadores 2024 2°Semestre]]&gt;0,Tabela1154[[#This Row],[Percentual CONCLUINTES - Escola de Inovadores 2024 2°Semestre]]*0.4,0)</f>
        <v>0</v>
      </c>
      <c r="S185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</v>
      </c>
      <c r="T185" s="481">
        <f t="shared" si="2"/>
        <v>0</v>
      </c>
    </row>
    <row r="186" spans="1:20">
      <c r="A186" s="472">
        <v>234</v>
      </c>
      <c r="B186" s="492" t="s">
        <v>170</v>
      </c>
      <c r="C186" s="473">
        <v>863</v>
      </c>
      <c r="D186" s="474">
        <f>Tabela1154[[#This Row],[MATRICULADOS 1° Semestre 2024]]*0.075</f>
        <v>64.724999999999994</v>
      </c>
      <c r="E186" s="475">
        <v>102</v>
      </c>
      <c r="F186" s="476">
        <f>IF(Tabela1154[[#This Row],[INSCRITOS - Escola de Inovadores - 1° Semestre 2024]]&lt;Tabela1154[[#This Row],[Linha de Base (7,5%) 1°Semestre]],0,1)</f>
        <v>1</v>
      </c>
      <c r="G186" s="477">
        <f>IF(Tabela1154[[#This Row],[Percentual INSCRITOS - Escola de Inovadores - 2024]]&gt;0,Tabela1154[[#This Row],[Percentual INSCRITOS - Escola de Inovadores - 2024]]*0.6,0)</f>
        <v>0.6</v>
      </c>
      <c r="H186" s="475">
        <v>81</v>
      </c>
      <c r="I186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186" s="476">
        <f>IF(Tabela1154[[#This Row],[X = Percentual de inscritos na escola de inovadores para o cumprimento de meta ( Peso 0,60)]]=0, 0, Tabela1154[[#This Row],[Percentual CONCLUINTES - Escola de Inovadores 2024]]*0.4)</f>
        <v>0.4</v>
      </c>
      <c r="K186" s="473">
        <v>521</v>
      </c>
      <c r="L186" s="478">
        <f>Tabela1154[[#This Row],[Matriculados 2°Semestre em Curso]]*0.075</f>
        <v>39.074999999999996</v>
      </c>
      <c r="M186" s="479">
        <v>17</v>
      </c>
      <c r="N186" s="480">
        <f>IF(Tabela1154[[#This Row],[INSCRITOS - Escola de Inovadores - 2°Semestre 2024]]&lt;Tabela1154[[#This Row],[Linha de Base (7,5%) 2°Semestre]], 0,1)</f>
        <v>0</v>
      </c>
      <c r="O186" s="480">
        <f>IF(Tabela1154[[#This Row],[Taxa de Inscritos 2° Semestre 2024]]&gt;0,Tabela1154[[#This Row],[Taxa de Inscritos 2° Semestre 2024]]*0.6,0)</f>
        <v>0</v>
      </c>
      <c r="P186" s="479">
        <v>1</v>
      </c>
      <c r="Q186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86" s="480">
        <f>IF(Tabela1154[[#This Row],[Percentual CONCLUINTES - Escola de Inovadores 2024 2°Semestre]]&gt;0,Tabela1154[[#This Row],[Percentual CONCLUINTES - Escola de Inovadores 2024 2°Semestre]]*0.4,0)</f>
        <v>0</v>
      </c>
      <c r="S186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186" s="481">
        <f t="shared" si="2"/>
        <v>0.6</v>
      </c>
    </row>
    <row r="187" spans="1:20">
      <c r="A187" s="472">
        <v>235</v>
      </c>
      <c r="B187" s="492" t="s">
        <v>177</v>
      </c>
      <c r="C187" s="473">
        <v>524</v>
      </c>
      <c r="D187" s="474">
        <f>Tabela1154[[#This Row],[MATRICULADOS 1° Semestre 2024]]*0.075</f>
        <v>39.299999999999997</v>
      </c>
      <c r="E187" s="475">
        <v>67</v>
      </c>
      <c r="F187" s="476">
        <f>IF(Tabela1154[[#This Row],[INSCRITOS - Escola de Inovadores - 1° Semestre 2024]]&lt;Tabela1154[[#This Row],[Linha de Base (7,5%) 1°Semestre]],0,1)</f>
        <v>1</v>
      </c>
      <c r="G187" s="477">
        <f>IF(Tabela1154[[#This Row],[Percentual INSCRITOS - Escola de Inovadores - 2024]]&gt;0,Tabela1154[[#This Row],[Percentual INSCRITOS - Escola de Inovadores - 2024]]*0.6,0)</f>
        <v>0.6</v>
      </c>
      <c r="H187" s="475">
        <v>12</v>
      </c>
      <c r="I187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0.30534351145038169</v>
      </c>
      <c r="J187" s="476">
        <f>IF(Tabela1154[[#This Row],[X = Percentual de inscritos na escola de inovadores para o cumprimento de meta ( Peso 0,60)]]=0, 0, Tabela1154[[#This Row],[Percentual CONCLUINTES - Escola de Inovadores 2024]]*0.4)</f>
        <v>0.12213740458015268</v>
      </c>
      <c r="K187" s="473">
        <v>295</v>
      </c>
      <c r="L187" s="478">
        <f>Tabela1154[[#This Row],[Matriculados 2°Semestre em Curso]]*0.075</f>
        <v>22.125</v>
      </c>
      <c r="M187" s="479">
        <v>0</v>
      </c>
      <c r="N187" s="480">
        <f>IF(Tabela1154[[#This Row],[INSCRITOS - Escola de Inovadores - 2°Semestre 2024]]&lt;Tabela1154[[#This Row],[Linha de Base (7,5%) 2°Semestre]], 0,1)</f>
        <v>0</v>
      </c>
      <c r="O187" s="480">
        <f>IF(Tabela1154[[#This Row],[Taxa de Inscritos 2° Semestre 2024]]&gt;0,Tabela1154[[#This Row],[Taxa de Inscritos 2° Semestre 2024]]*0.6,0)</f>
        <v>0</v>
      </c>
      <c r="P187" s="479">
        <v>0</v>
      </c>
      <c r="Q187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87" s="480">
        <f>IF(Tabela1154[[#This Row],[Percentual CONCLUINTES - Escola de Inovadores 2024 2°Semestre]]&gt;0,Tabela1154[[#This Row],[Percentual CONCLUINTES - Escola de Inovadores 2024 2°Semestre]]*0.4,0)</f>
        <v>0</v>
      </c>
      <c r="S187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0.36106870229007632</v>
      </c>
      <c r="T187" s="481">
        <f t="shared" si="2"/>
        <v>0</v>
      </c>
    </row>
    <row r="188" spans="1:20">
      <c r="A188" s="472">
        <v>236</v>
      </c>
      <c r="B188" s="492" t="s">
        <v>44</v>
      </c>
      <c r="C188" s="473">
        <v>306</v>
      </c>
      <c r="D188" s="474">
        <f>Tabela1154[[#This Row],[MATRICULADOS 1° Semestre 2024]]*0.075</f>
        <v>22.95</v>
      </c>
      <c r="E188" s="475">
        <v>52</v>
      </c>
      <c r="F188" s="476">
        <f>IF(Tabela1154[[#This Row],[INSCRITOS - Escola de Inovadores - 1° Semestre 2024]]&lt;Tabela1154[[#This Row],[Linha de Base (7,5%) 1°Semestre]],0,1)</f>
        <v>1</v>
      </c>
      <c r="G188" s="477">
        <f>IF(Tabela1154[[#This Row],[Percentual INSCRITOS - Escola de Inovadores - 2024]]&gt;0,Tabela1154[[#This Row],[Percentual INSCRITOS - Escola de Inovadores - 2024]]*0.6,0)</f>
        <v>0.6</v>
      </c>
      <c r="H188" s="475">
        <v>3</v>
      </c>
      <c r="I188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0.13071895424836602</v>
      </c>
      <c r="J188" s="476">
        <f>IF(Tabela1154[[#This Row],[X = Percentual de inscritos na escola de inovadores para o cumprimento de meta ( Peso 0,60)]]=0, 0, Tabela1154[[#This Row],[Percentual CONCLUINTES - Escola de Inovadores 2024]]*0.4)</f>
        <v>5.2287581699346414E-2</v>
      </c>
      <c r="K188" s="473">
        <v>493</v>
      </c>
      <c r="L188" s="478">
        <f>Tabela1154[[#This Row],[Matriculados 2°Semestre em Curso]]*0.075</f>
        <v>36.975000000000001</v>
      </c>
      <c r="M188" s="479">
        <v>0</v>
      </c>
      <c r="N188" s="480">
        <f>IF(Tabela1154[[#This Row],[INSCRITOS - Escola de Inovadores - 2°Semestre 2024]]&lt;Tabela1154[[#This Row],[Linha de Base (7,5%) 2°Semestre]], 0,1)</f>
        <v>0</v>
      </c>
      <c r="O188" s="480">
        <f>IF(Tabela1154[[#This Row],[Taxa de Inscritos 2° Semestre 2024]]&gt;0,Tabela1154[[#This Row],[Taxa de Inscritos 2° Semestre 2024]]*0.6,0)</f>
        <v>0</v>
      </c>
      <c r="P188" s="479">
        <v>0</v>
      </c>
      <c r="Q188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88" s="480">
        <f>IF(Tabela1154[[#This Row],[Percentual CONCLUINTES - Escola de Inovadores 2024 2°Semestre]]&gt;0,Tabela1154[[#This Row],[Percentual CONCLUINTES - Escola de Inovadores 2024 2°Semestre]]*0.4,0)</f>
        <v>0</v>
      </c>
      <c r="S188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0.32614379084967321</v>
      </c>
      <c r="T188" s="481">
        <f t="shared" si="2"/>
        <v>0</v>
      </c>
    </row>
    <row r="189" spans="1:20">
      <c r="A189" s="472">
        <v>237</v>
      </c>
      <c r="B189" s="492" t="s">
        <v>109</v>
      </c>
      <c r="C189" s="473">
        <v>404</v>
      </c>
      <c r="D189" s="474">
        <f>Tabela1154[[#This Row],[MATRICULADOS 1° Semestre 2024]]*0.075</f>
        <v>30.299999999999997</v>
      </c>
      <c r="E189" s="475">
        <v>82</v>
      </c>
      <c r="F189" s="476">
        <f>IF(Tabela1154[[#This Row],[INSCRITOS - Escola de Inovadores - 1° Semestre 2024]]&lt;Tabela1154[[#This Row],[Linha de Base (7,5%) 1°Semestre]],0,1)</f>
        <v>1</v>
      </c>
      <c r="G189" s="477">
        <f>IF(Tabela1154[[#This Row],[Percentual INSCRITOS - Escola de Inovadores - 2024]]&gt;0,Tabela1154[[#This Row],[Percentual INSCRITOS - Escola de Inovadores - 2024]]*0.6,0)</f>
        <v>0.6</v>
      </c>
      <c r="H189" s="475">
        <v>29</v>
      </c>
      <c r="I189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0.95709570957095713</v>
      </c>
      <c r="J189" s="476">
        <f>IF(Tabela1154[[#This Row],[X = Percentual de inscritos na escola de inovadores para o cumprimento de meta ( Peso 0,60)]]=0, 0, Tabela1154[[#This Row],[Percentual CONCLUINTES - Escola de Inovadores 2024]]*0.4)</f>
        <v>0.38283828382838286</v>
      </c>
      <c r="K189" s="473">
        <v>771</v>
      </c>
      <c r="L189" s="478">
        <f>Tabela1154[[#This Row],[Matriculados 2°Semestre em Curso]]*0.075</f>
        <v>57.824999999999996</v>
      </c>
      <c r="M189" s="479">
        <v>0</v>
      </c>
      <c r="N189" s="480">
        <f>IF(Tabela1154[[#This Row],[INSCRITOS - Escola de Inovadores - 2°Semestre 2024]]&lt;Tabela1154[[#This Row],[Linha de Base (7,5%) 2°Semestre]], 0,1)</f>
        <v>0</v>
      </c>
      <c r="O189" s="480">
        <f>IF(Tabela1154[[#This Row],[Taxa de Inscritos 2° Semestre 2024]]&gt;0,Tabela1154[[#This Row],[Taxa de Inscritos 2° Semestre 2024]]*0.6,0)</f>
        <v>0</v>
      </c>
      <c r="P189" s="479">
        <v>0</v>
      </c>
      <c r="Q189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89" s="480">
        <f>IF(Tabela1154[[#This Row],[Percentual CONCLUINTES - Escola de Inovadores 2024 2°Semestre]]&gt;0,Tabela1154[[#This Row],[Percentual CONCLUINTES - Escola de Inovadores 2024 2°Semestre]]*0.4,0)</f>
        <v>0</v>
      </c>
      <c r="S189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0.49141914191419145</v>
      </c>
      <c r="T189" s="481">
        <f t="shared" si="2"/>
        <v>0.5</v>
      </c>
    </row>
    <row r="190" spans="1:20">
      <c r="A190" s="472">
        <v>238</v>
      </c>
      <c r="B190" s="492" t="s">
        <v>6</v>
      </c>
      <c r="C190" s="473">
        <v>777</v>
      </c>
      <c r="D190" s="474">
        <f>Tabela1154[[#This Row],[MATRICULADOS 1° Semestre 2024]]*0.075</f>
        <v>58.274999999999999</v>
      </c>
      <c r="E190" s="475">
        <v>126</v>
      </c>
      <c r="F190" s="476">
        <f>IF(Tabela1154[[#This Row],[INSCRITOS - Escola de Inovadores - 1° Semestre 2024]]&lt;Tabela1154[[#This Row],[Linha de Base (7,5%) 1°Semestre]],0,1)</f>
        <v>1</v>
      </c>
      <c r="G190" s="477">
        <f>IF(Tabela1154[[#This Row],[Percentual INSCRITOS - Escola de Inovadores - 2024]]&gt;0,Tabela1154[[#This Row],[Percentual INSCRITOS - Escola de Inovadores - 2024]]*0.6,0)</f>
        <v>0.6</v>
      </c>
      <c r="H190" s="475">
        <v>10</v>
      </c>
      <c r="I190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0.1716001716001716</v>
      </c>
      <c r="J190" s="476">
        <f>IF(Tabela1154[[#This Row],[X = Percentual de inscritos na escola de inovadores para o cumprimento de meta ( Peso 0,60)]]=0, 0, Tabela1154[[#This Row],[Percentual CONCLUINTES - Escola de Inovadores 2024]]*0.4)</f>
        <v>6.8640068640068649E-2</v>
      </c>
      <c r="K190" s="473">
        <v>255</v>
      </c>
      <c r="L190" s="478">
        <f>Tabela1154[[#This Row],[Matriculados 2°Semestre em Curso]]*0.075</f>
        <v>19.125</v>
      </c>
      <c r="M190" s="479">
        <v>2</v>
      </c>
      <c r="N190" s="480">
        <f>IF(Tabela1154[[#This Row],[INSCRITOS - Escola de Inovadores - 2°Semestre 2024]]&lt;Tabela1154[[#This Row],[Linha de Base (7,5%) 2°Semestre]], 0,1)</f>
        <v>0</v>
      </c>
      <c r="O190" s="480">
        <f>IF(Tabela1154[[#This Row],[Taxa de Inscritos 2° Semestre 2024]]&gt;0,Tabela1154[[#This Row],[Taxa de Inscritos 2° Semestre 2024]]*0.6,0)</f>
        <v>0</v>
      </c>
      <c r="P190" s="479">
        <v>1</v>
      </c>
      <c r="Q190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90" s="480">
        <f>IF(Tabela1154[[#This Row],[Percentual CONCLUINTES - Escola de Inovadores 2024 2°Semestre]]&gt;0,Tabela1154[[#This Row],[Percentual CONCLUINTES - Escola de Inovadores 2024 2°Semestre]]*0.4,0)</f>
        <v>0</v>
      </c>
      <c r="S190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0.33432003432003432</v>
      </c>
      <c r="T190" s="481">
        <f t="shared" si="2"/>
        <v>0</v>
      </c>
    </row>
    <row r="191" spans="1:20">
      <c r="A191" s="472">
        <v>239</v>
      </c>
      <c r="B191" s="492" t="s">
        <v>14</v>
      </c>
      <c r="C191" s="473">
        <v>299</v>
      </c>
      <c r="D191" s="474">
        <f>Tabela1154[[#This Row],[MATRICULADOS 1° Semestre 2024]]*0.075</f>
        <v>22.425000000000001</v>
      </c>
      <c r="E191" s="475">
        <v>43</v>
      </c>
      <c r="F191" s="476">
        <f>IF(Tabela1154[[#This Row],[INSCRITOS - Escola de Inovadores - 1° Semestre 2024]]&lt;Tabela1154[[#This Row],[Linha de Base (7,5%) 1°Semestre]],0,1)</f>
        <v>1</v>
      </c>
      <c r="G191" s="477">
        <f>IF(Tabela1154[[#This Row],[Percentual INSCRITOS - Escola de Inovadores - 2024]]&gt;0,Tabela1154[[#This Row],[Percentual INSCRITOS - Escola de Inovadores - 2024]]*0.6,0)</f>
        <v>0.6</v>
      </c>
      <c r="H191" s="475">
        <v>20</v>
      </c>
      <c r="I191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0.89186176142697882</v>
      </c>
      <c r="J191" s="476">
        <f>IF(Tabela1154[[#This Row],[X = Percentual de inscritos na escola de inovadores para o cumprimento de meta ( Peso 0,60)]]=0, 0, Tabela1154[[#This Row],[Percentual CONCLUINTES - Escola de Inovadores 2024]]*0.4)</f>
        <v>0.35674470457079155</v>
      </c>
      <c r="K191" s="473">
        <v>894</v>
      </c>
      <c r="L191" s="478">
        <f>Tabela1154[[#This Row],[Matriculados 2°Semestre em Curso]]*0.075</f>
        <v>67.05</v>
      </c>
      <c r="M191" s="479">
        <v>30</v>
      </c>
      <c r="N191" s="480">
        <f>IF(Tabela1154[[#This Row],[INSCRITOS - Escola de Inovadores - 2°Semestre 2024]]&lt;Tabela1154[[#This Row],[Linha de Base (7,5%) 2°Semestre]], 0,1)</f>
        <v>0</v>
      </c>
      <c r="O191" s="480">
        <f>IF(Tabela1154[[#This Row],[Taxa de Inscritos 2° Semestre 2024]]&gt;0,Tabela1154[[#This Row],[Taxa de Inscritos 2° Semestre 2024]]*0.6,0)</f>
        <v>0</v>
      </c>
      <c r="P191" s="479">
        <v>23</v>
      </c>
      <c r="Q191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91" s="480">
        <f>IF(Tabela1154[[#This Row],[Percentual CONCLUINTES - Escola de Inovadores 2024 2°Semestre]]&gt;0,Tabela1154[[#This Row],[Percentual CONCLUINTES - Escola de Inovadores 2024 2°Semestre]]*0.4,0)</f>
        <v>0</v>
      </c>
      <c r="S191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0.47837235228539576</v>
      </c>
      <c r="T191" s="481">
        <f t="shared" si="2"/>
        <v>0.5</v>
      </c>
    </row>
    <row r="192" spans="1:20">
      <c r="A192" s="472">
        <v>240</v>
      </c>
      <c r="B192" s="492" t="s">
        <v>164</v>
      </c>
      <c r="C192" s="473">
        <v>945</v>
      </c>
      <c r="D192" s="474">
        <f>Tabela1154[[#This Row],[MATRICULADOS 1° Semestre 2024]]*0.075</f>
        <v>70.875</v>
      </c>
      <c r="E192" s="475">
        <v>13</v>
      </c>
      <c r="F192" s="476">
        <f>IF(Tabela1154[[#This Row],[INSCRITOS - Escola de Inovadores - 1° Semestre 2024]]&lt;Tabela1154[[#This Row],[Linha de Base (7,5%) 1°Semestre]],0,1)</f>
        <v>0</v>
      </c>
      <c r="G192" s="477">
        <f>IF(Tabela1154[[#This Row],[Percentual INSCRITOS - Escola de Inovadores - 2024]]&gt;0,Tabela1154[[#This Row],[Percentual INSCRITOS - Escola de Inovadores - 2024]]*0.6,0)</f>
        <v>0</v>
      </c>
      <c r="H192" s="475">
        <v>0</v>
      </c>
      <c r="I192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92" s="476">
        <f>IF(Tabela1154[[#This Row],[X = Percentual de inscritos na escola de inovadores para o cumprimento de meta ( Peso 0,60)]]=0, 0, Tabela1154[[#This Row],[Percentual CONCLUINTES - Escola de Inovadores 2024]]*0.4)</f>
        <v>0</v>
      </c>
      <c r="K192" s="473">
        <v>894</v>
      </c>
      <c r="L192" s="478">
        <f>Tabela1154[[#This Row],[Matriculados 2°Semestre em Curso]]*0.075</f>
        <v>67.05</v>
      </c>
      <c r="M192" s="479">
        <v>4</v>
      </c>
      <c r="N192" s="480">
        <f>IF(Tabela1154[[#This Row],[INSCRITOS - Escola de Inovadores - 2°Semestre 2024]]&lt;Tabela1154[[#This Row],[Linha de Base (7,5%) 2°Semestre]], 0,1)</f>
        <v>0</v>
      </c>
      <c r="O192" s="480">
        <f>IF(Tabela1154[[#This Row],[Taxa de Inscritos 2° Semestre 2024]]&gt;0,Tabela1154[[#This Row],[Taxa de Inscritos 2° Semestre 2024]]*0.6,0)</f>
        <v>0</v>
      </c>
      <c r="P192" s="479">
        <v>0</v>
      </c>
      <c r="Q192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92" s="480">
        <f>IF(Tabela1154[[#This Row],[Percentual CONCLUINTES - Escola de Inovadores 2024 2°Semestre]]&gt;0,Tabela1154[[#This Row],[Percentual CONCLUINTES - Escola de Inovadores 2024 2°Semestre]]*0.4,0)</f>
        <v>0</v>
      </c>
      <c r="S192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92" s="481">
        <f t="shared" si="2"/>
        <v>0</v>
      </c>
    </row>
    <row r="193" spans="1:20">
      <c r="A193" s="472">
        <v>241</v>
      </c>
      <c r="B193" s="492" t="s">
        <v>68</v>
      </c>
      <c r="C193" s="473">
        <v>900</v>
      </c>
      <c r="D193" s="474">
        <f>Tabela1154[[#This Row],[MATRICULADOS 1° Semestre 2024]]*0.075</f>
        <v>67.5</v>
      </c>
      <c r="E193" s="475">
        <v>65</v>
      </c>
      <c r="F193" s="476">
        <f>IF(Tabela1154[[#This Row],[INSCRITOS - Escola de Inovadores - 1° Semestre 2024]]&lt;Tabela1154[[#This Row],[Linha de Base (7,5%) 1°Semestre]],0,1)</f>
        <v>0</v>
      </c>
      <c r="G193" s="477">
        <f>IF(Tabela1154[[#This Row],[Percentual INSCRITOS - Escola de Inovadores - 2024]]&gt;0,Tabela1154[[#This Row],[Percentual INSCRITOS - Escola de Inovadores - 2024]]*0.6,0)</f>
        <v>0</v>
      </c>
      <c r="H193" s="475">
        <v>50</v>
      </c>
      <c r="I193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93" s="476">
        <f>IF(Tabela1154[[#This Row],[X = Percentual de inscritos na escola de inovadores para o cumprimento de meta ( Peso 0,60)]]=0, 0, Tabela1154[[#This Row],[Percentual CONCLUINTES - Escola de Inovadores 2024]]*0.4)</f>
        <v>0</v>
      </c>
      <c r="K193" s="473">
        <v>827</v>
      </c>
      <c r="L193" s="478">
        <f>Tabela1154[[#This Row],[Matriculados 2°Semestre em Curso]]*0.075</f>
        <v>62.024999999999999</v>
      </c>
      <c r="M193" s="479">
        <v>108</v>
      </c>
      <c r="N193" s="480">
        <f>IF(Tabela1154[[#This Row],[INSCRITOS - Escola de Inovadores - 2°Semestre 2024]]&lt;Tabela1154[[#This Row],[Linha de Base (7,5%) 2°Semestre]], 0,1)</f>
        <v>1</v>
      </c>
      <c r="O193" s="480">
        <f>IF(Tabela1154[[#This Row],[Taxa de Inscritos 2° Semestre 2024]]&gt;0,Tabela1154[[#This Row],[Taxa de Inscritos 2° Semestre 2024]]*0.6,0)</f>
        <v>0.6</v>
      </c>
      <c r="P193" s="479">
        <v>59</v>
      </c>
      <c r="Q193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0.95122934300685213</v>
      </c>
      <c r="R193" s="480">
        <f>IF(Tabela1154[[#This Row],[Percentual CONCLUINTES - Escola de Inovadores 2024 2°Semestre]]&gt;0,Tabela1154[[#This Row],[Percentual CONCLUINTES - Escola de Inovadores 2024 2°Semestre]]*0.4,0)</f>
        <v>0.38049173720274088</v>
      </c>
      <c r="S193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0.49024586860137043</v>
      </c>
      <c r="T193" s="481">
        <f t="shared" si="2"/>
        <v>0.5</v>
      </c>
    </row>
    <row r="194" spans="1:20">
      <c r="A194" s="472">
        <v>242</v>
      </c>
      <c r="B194" s="492" t="s">
        <v>142</v>
      </c>
      <c r="C194" s="473">
        <v>925</v>
      </c>
      <c r="D194" s="474">
        <f>Tabela1154[[#This Row],[MATRICULADOS 1° Semestre 2024]]*0.075</f>
        <v>69.375</v>
      </c>
      <c r="E194" s="475">
        <v>6</v>
      </c>
      <c r="F194" s="476">
        <f>IF(Tabela1154[[#This Row],[INSCRITOS - Escola de Inovadores - 1° Semestre 2024]]&lt;Tabela1154[[#This Row],[Linha de Base (7,5%) 1°Semestre]],0,1)</f>
        <v>0</v>
      </c>
      <c r="G194" s="477">
        <f>IF(Tabela1154[[#This Row],[Percentual INSCRITOS - Escola de Inovadores - 2024]]&gt;0,Tabela1154[[#This Row],[Percentual INSCRITOS - Escola de Inovadores - 2024]]*0.6,0)</f>
        <v>0</v>
      </c>
      <c r="H194" s="475">
        <v>0</v>
      </c>
      <c r="I194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94" s="476">
        <f>IF(Tabela1154[[#This Row],[X = Percentual de inscritos na escola de inovadores para o cumprimento de meta ( Peso 0,60)]]=0, 0, Tabela1154[[#This Row],[Percentual CONCLUINTES - Escola de Inovadores 2024]]*0.4)</f>
        <v>0</v>
      </c>
      <c r="K194" s="473">
        <v>326</v>
      </c>
      <c r="L194" s="478">
        <f>Tabela1154[[#This Row],[Matriculados 2°Semestre em Curso]]*0.075</f>
        <v>24.45</v>
      </c>
      <c r="M194" s="479">
        <v>107</v>
      </c>
      <c r="N194" s="480">
        <f>IF(Tabela1154[[#This Row],[INSCRITOS - Escola de Inovadores - 2°Semestre 2024]]&lt;Tabela1154[[#This Row],[Linha de Base (7,5%) 2°Semestre]], 0,1)</f>
        <v>1</v>
      </c>
      <c r="O194" s="480">
        <f>IF(Tabela1154[[#This Row],[Taxa de Inscritos 2° Semestre 2024]]&gt;0,Tabela1154[[#This Row],[Taxa de Inscritos 2° Semestre 2024]]*0.6,0)</f>
        <v>0.6</v>
      </c>
      <c r="P194" s="479">
        <v>20</v>
      </c>
      <c r="Q194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0.81799591002044991</v>
      </c>
      <c r="R194" s="480">
        <f>IF(Tabela1154[[#This Row],[Percentual CONCLUINTES - Escola de Inovadores 2024 2°Semestre]]&gt;0,Tabela1154[[#This Row],[Percentual CONCLUINTES - Escola de Inovadores 2024 2°Semestre]]*0.4,0)</f>
        <v>0.32719836400817998</v>
      </c>
      <c r="S194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0.46359918200409</v>
      </c>
      <c r="T194" s="481">
        <f t="shared" si="2"/>
        <v>0.5</v>
      </c>
    </row>
    <row r="195" spans="1:20">
      <c r="A195" s="472">
        <v>243</v>
      </c>
      <c r="B195" s="492" t="s">
        <v>59</v>
      </c>
      <c r="C195" s="473">
        <v>335</v>
      </c>
      <c r="D195" s="474">
        <f>Tabela1154[[#This Row],[MATRICULADOS 1° Semestre 2024]]*0.075</f>
        <v>25.125</v>
      </c>
      <c r="E195" s="475">
        <v>39</v>
      </c>
      <c r="F195" s="476">
        <f>IF(Tabela1154[[#This Row],[INSCRITOS - Escola de Inovadores - 1° Semestre 2024]]&lt;Tabela1154[[#This Row],[Linha de Base (7,5%) 1°Semestre]],0,1)</f>
        <v>1</v>
      </c>
      <c r="G195" s="477">
        <f>IF(Tabela1154[[#This Row],[Percentual INSCRITOS - Escola de Inovadores - 2024]]&gt;0,Tabela1154[[#This Row],[Percentual INSCRITOS - Escola de Inovadores - 2024]]*0.6,0)</f>
        <v>0.6</v>
      </c>
      <c r="H195" s="475">
        <v>26</v>
      </c>
      <c r="I195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195" s="476">
        <f>IF(Tabela1154[[#This Row],[X = Percentual de inscritos na escola de inovadores para o cumprimento de meta ( Peso 0,60)]]=0, 0, Tabela1154[[#This Row],[Percentual CONCLUINTES - Escola de Inovadores 2024]]*0.4)</f>
        <v>0.4</v>
      </c>
      <c r="K195" s="473">
        <v>639</v>
      </c>
      <c r="L195" s="478">
        <f>Tabela1154[[#This Row],[Matriculados 2°Semestre em Curso]]*0.075</f>
        <v>47.924999999999997</v>
      </c>
      <c r="M195" s="479">
        <v>37</v>
      </c>
      <c r="N195" s="480">
        <f>IF(Tabela1154[[#This Row],[INSCRITOS - Escola de Inovadores - 2°Semestre 2024]]&lt;Tabela1154[[#This Row],[Linha de Base (7,5%) 2°Semestre]], 0,1)</f>
        <v>0</v>
      </c>
      <c r="O195" s="480">
        <f>IF(Tabela1154[[#This Row],[Taxa de Inscritos 2° Semestre 2024]]&gt;0,Tabela1154[[#This Row],[Taxa de Inscritos 2° Semestre 2024]]*0.6,0)</f>
        <v>0</v>
      </c>
      <c r="P195" s="479">
        <v>27</v>
      </c>
      <c r="Q195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95" s="480">
        <f>IF(Tabela1154[[#This Row],[Percentual CONCLUINTES - Escola de Inovadores 2024 2°Semestre]]&gt;0,Tabela1154[[#This Row],[Percentual CONCLUINTES - Escola de Inovadores 2024 2°Semestre]]*0.4,0)</f>
        <v>0</v>
      </c>
      <c r="S195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195" s="481">
        <f t="shared" si="2"/>
        <v>0.6</v>
      </c>
    </row>
    <row r="196" spans="1:20">
      <c r="A196" s="472">
        <v>244</v>
      </c>
      <c r="B196" s="492" t="s">
        <v>194</v>
      </c>
      <c r="C196" s="473">
        <v>638</v>
      </c>
      <c r="D196" s="474">
        <f>Tabela1154[[#This Row],[MATRICULADOS 1° Semestre 2024]]*0.075</f>
        <v>47.85</v>
      </c>
      <c r="E196" s="475">
        <v>62</v>
      </c>
      <c r="F196" s="476">
        <f>IF(Tabela1154[[#This Row],[INSCRITOS - Escola de Inovadores - 1° Semestre 2024]]&lt;Tabela1154[[#This Row],[Linha de Base (7,5%) 1°Semestre]],0,1)</f>
        <v>1</v>
      </c>
      <c r="G196" s="477">
        <f>IF(Tabela1154[[#This Row],[Percentual INSCRITOS - Escola de Inovadores - 2024]]&gt;0,Tabela1154[[#This Row],[Percentual INSCRITOS - Escola de Inovadores - 2024]]*0.6,0)</f>
        <v>0.6</v>
      </c>
      <c r="H196" s="475">
        <v>29</v>
      </c>
      <c r="I196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0.60606060606060608</v>
      </c>
      <c r="J196" s="476">
        <f>IF(Tabela1154[[#This Row],[X = Percentual de inscritos na escola de inovadores para o cumprimento de meta ( Peso 0,60)]]=0, 0, Tabela1154[[#This Row],[Percentual CONCLUINTES - Escola de Inovadores 2024]]*0.4)</f>
        <v>0.24242424242424243</v>
      </c>
      <c r="K196" s="473">
        <v>755</v>
      </c>
      <c r="L196" s="478">
        <f>Tabela1154[[#This Row],[Matriculados 2°Semestre em Curso]]*0.075</f>
        <v>56.625</v>
      </c>
      <c r="M196" s="479">
        <v>1</v>
      </c>
      <c r="N196" s="480">
        <f>IF(Tabela1154[[#This Row],[INSCRITOS - Escola de Inovadores - 2°Semestre 2024]]&lt;Tabela1154[[#This Row],[Linha de Base (7,5%) 2°Semestre]], 0,1)</f>
        <v>0</v>
      </c>
      <c r="O196" s="480">
        <f>IF(Tabela1154[[#This Row],[Taxa de Inscritos 2° Semestre 2024]]&gt;0,Tabela1154[[#This Row],[Taxa de Inscritos 2° Semestre 2024]]*0.6,0)</f>
        <v>0</v>
      </c>
      <c r="P196" s="479">
        <v>0</v>
      </c>
      <c r="Q196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96" s="480">
        <f>IF(Tabela1154[[#This Row],[Percentual CONCLUINTES - Escola de Inovadores 2024 2°Semestre]]&gt;0,Tabela1154[[#This Row],[Percentual CONCLUINTES - Escola de Inovadores 2024 2°Semestre]]*0.4,0)</f>
        <v>0</v>
      </c>
      <c r="S196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0.4212121212121212</v>
      </c>
      <c r="T196" s="481">
        <f t="shared" si="2"/>
        <v>0.5</v>
      </c>
    </row>
    <row r="197" spans="1:20">
      <c r="A197" s="472">
        <v>245</v>
      </c>
      <c r="B197" s="492" t="s">
        <v>48</v>
      </c>
      <c r="C197" s="473">
        <v>822</v>
      </c>
      <c r="D197" s="474">
        <f>Tabela1154[[#This Row],[MATRICULADOS 1° Semestre 2024]]*0.075</f>
        <v>61.65</v>
      </c>
      <c r="E197" s="475">
        <v>343</v>
      </c>
      <c r="F197" s="476">
        <f>IF(Tabela1154[[#This Row],[INSCRITOS - Escola de Inovadores - 1° Semestre 2024]]&lt;Tabela1154[[#This Row],[Linha de Base (7,5%) 1°Semestre]],0,1)</f>
        <v>1</v>
      </c>
      <c r="G197" s="477">
        <f>IF(Tabela1154[[#This Row],[Percentual INSCRITOS - Escola de Inovadores - 2024]]&gt;0,Tabela1154[[#This Row],[Percentual INSCRITOS - Escola de Inovadores - 2024]]*0.6,0)</f>
        <v>0.6</v>
      </c>
      <c r="H197" s="475">
        <v>213</v>
      </c>
      <c r="I197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197" s="476">
        <f>IF(Tabela1154[[#This Row],[X = Percentual de inscritos na escola de inovadores para o cumprimento de meta ( Peso 0,60)]]=0, 0, Tabela1154[[#This Row],[Percentual CONCLUINTES - Escola de Inovadores 2024]]*0.4)</f>
        <v>0.4</v>
      </c>
      <c r="K197" s="473">
        <v>482</v>
      </c>
      <c r="L197" s="478">
        <f>Tabela1154[[#This Row],[Matriculados 2°Semestre em Curso]]*0.075</f>
        <v>36.15</v>
      </c>
      <c r="M197" s="479">
        <v>6</v>
      </c>
      <c r="N197" s="480">
        <f>IF(Tabela1154[[#This Row],[INSCRITOS - Escola de Inovadores - 2°Semestre 2024]]&lt;Tabela1154[[#This Row],[Linha de Base (7,5%) 2°Semestre]], 0,1)</f>
        <v>0</v>
      </c>
      <c r="O197" s="480">
        <f>IF(Tabela1154[[#This Row],[Taxa de Inscritos 2° Semestre 2024]]&gt;0,Tabela1154[[#This Row],[Taxa de Inscritos 2° Semestre 2024]]*0.6,0)</f>
        <v>0</v>
      </c>
      <c r="P197" s="479">
        <v>3</v>
      </c>
      <c r="Q197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97" s="480">
        <f>IF(Tabela1154[[#This Row],[Percentual CONCLUINTES - Escola de Inovadores 2024 2°Semestre]]&gt;0,Tabela1154[[#This Row],[Percentual CONCLUINTES - Escola de Inovadores 2024 2°Semestre]]*0.4,0)</f>
        <v>0</v>
      </c>
      <c r="S197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197" s="481">
        <f t="shared" ref="T197:T231" si="3">IF(S197&gt;=0.8,100%,IF(S197&gt;=0.7,80%,IF(S197&gt;=0.6,70%,IF(S197&gt;=0.5,60%,IF(S197&gt;=0.4,50%,IF(S197&lt;0.4,0%,))))))</f>
        <v>0.6</v>
      </c>
    </row>
    <row r="198" spans="1:20">
      <c r="A198" s="472">
        <v>246</v>
      </c>
      <c r="B198" s="492" t="s">
        <v>150</v>
      </c>
      <c r="C198" s="473">
        <v>472</v>
      </c>
      <c r="D198" s="474">
        <f>Tabela1154[[#This Row],[MATRICULADOS 1° Semestre 2024]]*0.075</f>
        <v>35.4</v>
      </c>
      <c r="E198" s="475">
        <v>140</v>
      </c>
      <c r="F198" s="476">
        <f>IF(Tabela1154[[#This Row],[INSCRITOS - Escola de Inovadores - 1° Semestre 2024]]&lt;Tabela1154[[#This Row],[Linha de Base (7,5%) 1°Semestre]],0,1)</f>
        <v>1</v>
      </c>
      <c r="G198" s="477">
        <f>IF(Tabela1154[[#This Row],[Percentual INSCRITOS - Escola de Inovadores - 2024]]&gt;0,Tabela1154[[#This Row],[Percentual INSCRITOS - Escola de Inovadores - 2024]]*0.6,0)</f>
        <v>0.6</v>
      </c>
      <c r="H198" s="475">
        <v>39</v>
      </c>
      <c r="I198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198" s="476">
        <f>IF(Tabela1154[[#This Row],[X = Percentual de inscritos na escola de inovadores para o cumprimento de meta ( Peso 0,60)]]=0, 0, Tabela1154[[#This Row],[Percentual CONCLUINTES - Escola de Inovadores 2024]]*0.4)</f>
        <v>0.4</v>
      </c>
      <c r="K198" s="473">
        <v>675</v>
      </c>
      <c r="L198" s="478">
        <f>Tabela1154[[#This Row],[Matriculados 2°Semestre em Curso]]*0.075</f>
        <v>50.625</v>
      </c>
      <c r="M198" s="479">
        <v>72</v>
      </c>
      <c r="N198" s="480">
        <f>IF(Tabela1154[[#This Row],[INSCRITOS - Escola de Inovadores - 2°Semestre 2024]]&lt;Tabela1154[[#This Row],[Linha de Base (7,5%) 2°Semestre]], 0,1)</f>
        <v>1</v>
      </c>
      <c r="O198" s="480">
        <f>IF(Tabela1154[[#This Row],[Taxa de Inscritos 2° Semestre 2024]]&gt;0,Tabela1154[[#This Row],[Taxa de Inscritos 2° Semestre 2024]]*0.6,0)</f>
        <v>0.6</v>
      </c>
      <c r="P198" s="479">
        <v>35</v>
      </c>
      <c r="Q198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0.69135802469135799</v>
      </c>
      <c r="R198" s="480">
        <f>IF(Tabela1154[[#This Row],[Percentual CONCLUINTES - Escola de Inovadores 2024 2°Semestre]]&gt;0,Tabela1154[[#This Row],[Percentual CONCLUINTES - Escola de Inovadores 2024 2°Semestre]]*0.4,0)</f>
        <v>0.27654320987654318</v>
      </c>
      <c r="S198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0.93827160493827166</v>
      </c>
      <c r="T198" s="481">
        <f t="shared" si="3"/>
        <v>1</v>
      </c>
    </row>
    <row r="199" spans="1:20">
      <c r="A199" s="472">
        <v>247</v>
      </c>
      <c r="B199" s="492" t="s">
        <v>98</v>
      </c>
      <c r="C199" s="473">
        <v>711</v>
      </c>
      <c r="D199" s="474">
        <f>Tabela1154[[#This Row],[MATRICULADOS 1° Semestre 2024]]*0.075</f>
        <v>53.324999999999996</v>
      </c>
      <c r="E199" s="475">
        <v>21</v>
      </c>
      <c r="F199" s="476">
        <f>IF(Tabela1154[[#This Row],[INSCRITOS - Escola de Inovadores - 1° Semestre 2024]]&lt;Tabela1154[[#This Row],[Linha de Base (7,5%) 1°Semestre]],0,1)</f>
        <v>0</v>
      </c>
      <c r="G199" s="477">
        <f>IF(Tabela1154[[#This Row],[Percentual INSCRITOS - Escola de Inovadores - 2024]]&gt;0,Tabela1154[[#This Row],[Percentual INSCRITOS - Escola de Inovadores - 2024]]*0.6,0)</f>
        <v>0</v>
      </c>
      <c r="H199" s="475">
        <v>1</v>
      </c>
      <c r="I199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199" s="476">
        <f>IF(Tabela1154[[#This Row],[X = Percentual de inscritos na escola de inovadores para o cumprimento de meta ( Peso 0,60)]]=0, 0, Tabela1154[[#This Row],[Percentual CONCLUINTES - Escola de Inovadores 2024]]*0.4)</f>
        <v>0</v>
      </c>
      <c r="K199" s="473">
        <v>363</v>
      </c>
      <c r="L199" s="478">
        <f>Tabela1154[[#This Row],[Matriculados 2°Semestre em Curso]]*0.075</f>
        <v>27.224999999999998</v>
      </c>
      <c r="M199" s="479">
        <v>7</v>
      </c>
      <c r="N199" s="480">
        <f>IF(Tabela1154[[#This Row],[INSCRITOS - Escola de Inovadores - 2°Semestre 2024]]&lt;Tabela1154[[#This Row],[Linha de Base (7,5%) 2°Semestre]], 0,1)</f>
        <v>0</v>
      </c>
      <c r="O199" s="480">
        <f>IF(Tabela1154[[#This Row],[Taxa de Inscritos 2° Semestre 2024]]&gt;0,Tabela1154[[#This Row],[Taxa de Inscritos 2° Semestre 2024]]*0.6,0)</f>
        <v>0</v>
      </c>
      <c r="P199" s="479">
        <v>0</v>
      </c>
      <c r="Q199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199" s="480">
        <f>IF(Tabela1154[[#This Row],[Percentual CONCLUINTES - Escola de Inovadores 2024 2°Semestre]]&gt;0,Tabela1154[[#This Row],[Percentual CONCLUINTES - Escola de Inovadores 2024 2°Semestre]]*0.4,0)</f>
        <v>0</v>
      </c>
      <c r="S199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199" s="481">
        <f t="shared" si="3"/>
        <v>0</v>
      </c>
    </row>
    <row r="200" spans="1:20">
      <c r="A200" s="472">
        <v>248</v>
      </c>
      <c r="B200" s="492" t="s">
        <v>203</v>
      </c>
      <c r="C200" s="473">
        <v>361</v>
      </c>
      <c r="D200" s="474">
        <f>Tabela1154[[#This Row],[MATRICULADOS 1° Semestre 2024]]*0.075</f>
        <v>27.074999999999999</v>
      </c>
      <c r="E200" s="475">
        <v>86</v>
      </c>
      <c r="F200" s="476">
        <f>IF(Tabela1154[[#This Row],[INSCRITOS - Escola de Inovadores - 1° Semestre 2024]]&lt;Tabela1154[[#This Row],[Linha de Base (7,5%) 1°Semestre]],0,1)</f>
        <v>1</v>
      </c>
      <c r="G200" s="477">
        <f>IF(Tabela1154[[#This Row],[Percentual INSCRITOS - Escola de Inovadores - 2024]]&gt;0,Tabela1154[[#This Row],[Percentual INSCRITOS - Escola de Inovadores - 2024]]*0.6,0)</f>
        <v>0.6</v>
      </c>
      <c r="H200" s="475">
        <v>71</v>
      </c>
      <c r="I200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200" s="476">
        <f>IF(Tabela1154[[#This Row],[X = Percentual de inscritos na escola de inovadores para o cumprimento de meta ( Peso 0,60)]]=0, 0, Tabela1154[[#This Row],[Percentual CONCLUINTES - Escola de Inovadores 2024]]*0.4)</f>
        <v>0.4</v>
      </c>
      <c r="K200" s="473">
        <v>683</v>
      </c>
      <c r="L200" s="478">
        <f>Tabela1154[[#This Row],[Matriculados 2°Semestre em Curso]]*0.075</f>
        <v>51.225000000000001</v>
      </c>
      <c r="M200" s="479">
        <v>2</v>
      </c>
      <c r="N200" s="480">
        <f>IF(Tabela1154[[#This Row],[INSCRITOS - Escola de Inovadores - 2°Semestre 2024]]&lt;Tabela1154[[#This Row],[Linha de Base (7,5%) 2°Semestre]], 0,1)</f>
        <v>0</v>
      </c>
      <c r="O200" s="480">
        <f>IF(Tabela1154[[#This Row],[Taxa de Inscritos 2° Semestre 2024]]&gt;0,Tabela1154[[#This Row],[Taxa de Inscritos 2° Semestre 2024]]*0.6,0)</f>
        <v>0</v>
      </c>
      <c r="P200" s="479">
        <v>0</v>
      </c>
      <c r="Q200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200" s="480">
        <f>IF(Tabela1154[[#This Row],[Percentual CONCLUINTES - Escola de Inovadores 2024 2°Semestre]]&gt;0,Tabela1154[[#This Row],[Percentual CONCLUINTES - Escola de Inovadores 2024 2°Semestre]]*0.4,0)</f>
        <v>0</v>
      </c>
      <c r="S200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200" s="481">
        <f t="shared" si="3"/>
        <v>0.6</v>
      </c>
    </row>
    <row r="201" spans="1:20">
      <c r="A201" s="472">
        <v>249</v>
      </c>
      <c r="B201" s="492" t="s">
        <v>26</v>
      </c>
      <c r="C201" s="473">
        <v>698</v>
      </c>
      <c r="D201" s="474">
        <f>Tabela1154[[#This Row],[MATRICULADOS 1° Semestre 2024]]*0.075</f>
        <v>52.35</v>
      </c>
      <c r="E201" s="475">
        <v>11</v>
      </c>
      <c r="F201" s="476">
        <f>IF(Tabela1154[[#This Row],[INSCRITOS - Escola de Inovadores - 1° Semestre 2024]]&lt;Tabela1154[[#This Row],[Linha de Base (7,5%) 1°Semestre]],0,1)</f>
        <v>0</v>
      </c>
      <c r="G201" s="477">
        <f>IF(Tabela1154[[#This Row],[Percentual INSCRITOS - Escola de Inovadores - 2024]]&gt;0,Tabela1154[[#This Row],[Percentual INSCRITOS - Escola de Inovadores - 2024]]*0.6,0)</f>
        <v>0</v>
      </c>
      <c r="H201" s="475">
        <v>0</v>
      </c>
      <c r="I201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201" s="476">
        <f>IF(Tabela1154[[#This Row],[X = Percentual de inscritos na escola de inovadores para o cumprimento de meta ( Peso 0,60)]]=0, 0, Tabela1154[[#This Row],[Percentual CONCLUINTES - Escola de Inovadores 2024]]*0.4)</f>
        <v>0</v>
      </c>
      <c r="K201" s="473">
        <v>547</v>
      </c>
      <c r="L201" s="478">
        <f>Tabela1154[[#This Row],[Matriculados 2°Semestre em Curso]]*0.075</f>
        <v>41.024999999999999</v>
      </c>
      <c r="M201" s="479">
        <v>72</v>
      </c>
      <c r="N201" s="480">
        <f>IF(Tabela1154[[#This Row],[INSCRITOS - Escola de Inovadores - 2°Semestre 2024]]&lt;Tabela1154[[#This Row],[Linha de Base (7,5%) 2°Semestre]], 0,1)</f>
        <v>1</v>
      </c>
      <c r="O201" s="480">
        <f>IF(Tabela1154[[#This Row],[Taxa de Inscritos 2° Semestre 2024]]&gt;0,Tabela1154[[#This Row],[Taxa de Inscritos 2° Semestre 2024]]*0.6,0)</f>
        <v>0.6</v>
      </c>
      <c r="P201" s="479">
        <v>41</v>
      </c>
      <c r="Q201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0.99939061547836694</v>
      </c>
      <c r="R201" s="480">
        <f>IF(Tabela1154[[#This Row],[Percentual CONCLUINTES - Escola de Inovadores 2024 2°Semestre]]&gt;0,Tabela1154[[#This Row],[Percentual CONCLUINTES - Escola de Inovadores 2024 2°Semestre]]*0.4,0)</f>
        <v>0.39975624619134681</v>
      </c>
      <c r="S201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0.49987812309567337</v>
      </c>
      <c r="T201" s="481">
        <f t="shared" si="3"/>
        <v>0.5</v>
      </c>
    </row>
    <row r="202" spans="1:20">
      <c r="A202" s="472">
        <v>252</v>
      </c>
      <c r="B202" s="492" t="s">
        <v>184</v>
      </c>
      <c r="C202" s="473">
        <v>551</v>
      </c>
      <c r="D202" s="474">
        <f>Tabela1154[[#This Row],[MATRICULADOS 1° Semestre 2024]]*0.075</f>
        <v>41.324999999999996</v>
      </c>
      <c r="E202" s="475">
        <v>214</v>
      </c>
      <c r="F202" s="476">
        <f>IF(Tabela1154[[#This Row],[INSCRITOS - Escola de Inovadores - 1° Semestre 2024]]&lt;Tabela1154[[#This Row],[Linha de Base (7,5%) 1°Semestre]],0,1)</f>
        <v>1</v>
      </c>
      <c r="G202" s="477">
        <f>IF(Tabela1154[[#This Row],[Percentual INSCRITOS - Escola de Inovadores - 2024]]&gt;0,Tabela1154[[#This Row],[Percentual INSCRITOS - Escola de Inovadores - 2024]]*0.6,0)</f>
        <v>0.6</v>
      </c>
      <c r="H202" s="475">
        <v>145</v>
      </c>
      <c r="I202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202" s="476">
        <f>IF(Tabela1154[[#This Row],[X = Percentual de inscritos na escola de inovadores para o cumprimento de meta ( Peso 0,60)]]=0, 0, Tabela1154[[#This Row],[Percentual CONCLUINTES - Escola de Inovadores 2024]]*0.4)</f>
        <v>0.4</v>
      </c>
      <c r="K202" s="473">
        <v>567</v>
      </c>
      <c r="L202" s="478">
        <f>Tabela1154[[#This Row],[Matriculados 2°Semestre em Curso]]*0.075</f>
        <v>42.524999999999999</v>
      </c>
      <c r="M202" s="479">
        <v>33</v>
      </c>
      <c r="N202" s="480">
        <f>IF(Tabela1154[[#This Row],[INSCRITOS - Escola de Inovadores - 2°Semestre 2024]]&lt;Tabela1154[[#This Row],[Linha de Base (7,5%) 2°Semestre]], 0,1)</f>
        <v>0</v>
      </c>
      <c r="O202" s="480">
        <f>IF(Tabela1154[[#This Row],[Taxa de Inscritos 2° Semestre 2024]]&gt;0,Tabela1154[[#This Row],[Taxa de Inscritos 2° Semestre 2024]]*0.6,0)</f>
        <v>0</v>
      </c>
      <c r="P202" s="479">
        <v>11</v>
      </c>
      <c r="Q202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202" s="480">
        <f>IF(Tabela1154[[#This Row],[Percentual CONCLUINTES - Escola de Inovadores 2024 2°Semestre]]&gt;0,Tabela1154[[#This Row],[Percentual CONCLUINTES - Escola de Inovadores 2024 2°Semestre]]*0.4,0)</f>
        <v>0</v>
      </c>
      <c r="S202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202" s="481">
        <f t="shared" si="3"/>
        <v>0.6</v>
      </c>
    </row>
    <row r="203" spans="1:20">
      <c r="A203" s="472">
        <v>253</v>
      </c>
      <c r="B203" s="492" t="s">
        <v>90</v>
      </c>
      <c r="C203" s="473">
        <v>601</v>
      </c>
      <c r="D203" s="474">
        <f>Tabela1154[[#This Row],[MATRICULADOS 1° Semestre 2024]]*0.075</f>
        <v>45.074999999999996</v>
      </c>
      <c r="E203" s="475">
        <v>8</v>
      </c>
      <c r="F203" s="476">
        <f>IF(Tabela1154[[#This Row],[INSCRITOS - Escola de Inovadores - 1° Semestre 2024]]&lt;Tabela1154[[#This Row],[Linha de Base (7,5%) 1°Semestre]],0,1)</f>
        <v>0</v>
      </c>
      <c r="G203" s="477">
        <f>IF(Tabela1154[[#This Row],[Percentual INSCRITOS - Escola de Inovadores - 2024]]&gt;0,Tabela1154[[#This Row],[Percentual INSCRITOS - Escola de Inovadores - 2024]]*0.6,0)</f>
        <v>0</v>
      </c>
      <c r="H203" s="475">
        <v>0</v>
      </c>
      <c r="I203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203" s="476">
        <f>IF(Tabela1154[[#This Row],[X = Percentual de inscritos na escola de inovadores para o cumprimento de meta ( Peso 0,60)]]=0, 0, Tabela1154[[#This Row],[Percentual CONCLUINTES - Escola de Inovadores 2024]]*0.4)</f>
        <v>0</v>
      </c>
      <c r="K203" s="473">
        <v>855</v>
      </c>
      <c r="L203" s="478">
        <f>Tabela1154[[#This Row],[Matriculados 2°Semestre em Curso]]*0.075</f>
        <v>64.125</v>
      </c>
      <c r="M203" s="479">
        <v>6</v>
      </c>
      <c r="N203" s="480">
        <f>IF(Tabela1154[[#This Row],[INSCRITOS - Escola de Inovadores - 2°Semestre 2024]]&lt;Tabela1154[[#This Row],[Linha de Base (7,5%) 2°Semestre]], 0,1)</f>
        <v>0</v>
      </c>
      <c r="O203" s="480">
        <f>IF(Tabela1154[[#This Row],[Taxa de Inscritos 2° Semestre 2024]]&gt;0,Tabela1154[[#This Row],[Taxa de Inscritos 2° Semestre 2024]]*0.6,0)</f>
        <v>0</v>
      </c>
      <c r="P203" s="479">
        <v>0</v>
      </c>
      <c r="Q203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203" s="480">
        <f>IF(Tabela1154[[#This Row],[Percentual CONCLUINTES - Escola de Inovadores 2024 2°Semestre]]&gt;0,Tabela1154[[#This Row],[Percentual CONCLUINTES - Escola de Inovadores 2024 2°Semestre]]*0.4,0)</f>
        <v>0</v>
      </c>
      <c r="S203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203" s="481">
        <f t="shared" si="3"/>
        <v>0</v>
      </c>
    </row>
    <row r="204" spans="1:20" ht="30">
      <c r="A204" s="472">
        <v>254</v>
      </c>
      <c r="B204" s="492" t="s">
        <v>40</v>
      </c>
      <c r="C204" s="473">
        <v>877</v>
      </c>
      <c r="D204" s="474">
        <f>Tabela1154[[#This Row],[MATRICULADOS 1° Semestre 2024]]*0.075</f>
        <v>65.774999999999991</v>
      </c>
      <c r="E204" s="475">
        <v>124</v>
      </c>
      <c r="F204" s="476">
        <f>IF(Tabela1154[[#This Row],[INSCRITOS - Escola de Inovadores - 1° Semestre 2024]]&lt;Tabela1154[[#This Row],[Linha de Base (7,5%) 1°Semestre]],0,1)</f>
        <v>1</v>
      </c>
      <c r="G204" s="477">
        <f>IF(Tabela1154[[#This Row],[Percentual INSCRITOS - Escola de Inovadores - 2024]]&gt;0,Tabela1154[[#This Row],[Percentual INSCRITOS - Escola de Inovadores - 2024]]*0.6,0)</f>
        <v>0.6</v>
      </c>
      <c r="H204" s="475">
        <v>33</v>
      </c>
      <c r="I204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0.50171037628278226</v>
      </c>
      <c r="J204" s="476">
        <f>IF(Tabela1154[[#This Row],[X = Percentual de inscritos na escola de inovadores para o cumprimento de meta ( Peso 0,60)]]=0, 0, Tabela1154[[#This Row],[Percentual CONCLUINTES - Escola de Inovadores 2024]]*0.4)</f>
        <v>0.20068415051311292</v>
      </c>
      <c r="K204" s="473">
        <v>451</v>
      </c>
      <c r="L204" s="478">
        <f>Tabela1154[[#This Row],[Matriculados 2°Semestre em Curso]]*0.075</f>
        <v>33.824999999999996</v>
      </c>
      <c r="M204" s="479">
        <v>6</v>
      </c>
      <c r="N204" s="480">
        <f>IF(Tabela1154[[#This Row],[INSCRITOS - Escola de Inovadores - 2°Semestre 2024]]&lt;Tabela1154[[#This Row],[Linha de Base (7,5%) 2°Semestre]], 0,1)</f>
        <v>0</v>
      </c>
      <c r="O204" s="480">
        <f>IF(Tabela1154[[#This Row],[Taxa de Inscritos 2° Semestre 2024]]&gt;0,Tabela1154[[#This Row],[Taxa de Inscritos 2° Semestre 2024]]*0.6,0)</f>
        <v>0</v>
      </c>
      <c r="P204" s="479">
        <v>1</v>
      </c>
      <c r="Q204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204" s="480">
        <f>IF(Tabela1154[[#This Row],[Percentual CONCLUINTES - Escola de Inovadores 2024 2°Semestre]]&gt;0,Tabela1154[[#This Row],[Percentual CONCLUINTES - Escola de Inovadores 2024 2°Semestre]]*0.4,0)</f>
        <v>0</v>
      </c>
      <c r="S204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0.40034207525655646</v>
      </c>
      <c r="T204" s="481">
        <f t="shared" si="3"/>
        <v>0.5</v>
      </c>
    </row>
    <row r="205" spans="1:20">
      <c r="A205" s="472">
        <v>255</v>
      </c>
      <c r="B205" s="492" t="s">
        <v>37</v>
      </c>
      <c r="C205" s="473">
        <v>471</v>
      </c>
      <c r="D205" s="474">
        <f>Tabela1154[[#This Row],[MATRICULADOS 1° Semestre 2024]]*0.075</f>
        <v>35.324999999999996</v>
      </c>
      <c r="E205" s="475">
        <v>80</v>
      </c>
      <c r="F205" s="476">
        <f>IF(Tabela1154[[#This Row],[INSCRITOS - Escola de Inovadores - 1° Semestre 2024]]&lt;Tabela1154[[#This Row],[Linha de Base (7,5%) 1°Semestre]],0,1)</f>
        <v>1</v>
      </c>
      <c r="G205" s="477">
        <f>IF(Tabela1154[[#This Row],[Percentual INSCRITOS - Escola de Inovadores - 2024]]&gt;0,Tabela1154[[#This Row],[Percentual INSCRITOS - Escola de Inovadores - 2024]]*0.6,0)</f>
        <v>0.6</v>
      </c>
      <c r="H205" s="475">
        <v>65</v>
      </c>
      <c r="I205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205" s="476">
        <f>IF(Tabela1154[[#This Row],[X = Percentual de inscritos na escola de inovadores para o cumprimento de meta ( Peso 0,60)]]=0, 0, Tabela1154[[#This Row],[Percentual CONCLUINTES - Escola de Inovadores 2024]]*0.4)</f>
        <v>0.4</v>
      </c>
      <c r="K205" s="473">
        <v>673</v>
      </c>
      <c r="L205" s="478">
        <f>Tabela1154[[#This Row],[Matriculados 2°Semestre em Curso]]*0.075</f>
        <v>50.475000000000001</v>
      </c>
      <c r="M205" s="479">
        <v>15</v>
      </c>
      <c r="N205" s="480">
        <f>IF(Tabela1154[[#This Row],[INSCRITOS - Escola de Inovadores - 2°Semestre 2024]]&lt;Tabela1154[[#This Row],[Linha de Base (7,5%) 2°Semestre]], 0,1)</f>
        <v>0</v>
      </c>
      <c r="O205" s="480">
        <f>IF(Tabela1154[[#This Row],[Taxa de Inscritos 2° Semestre 2024]]&gt;0,Tabela1154[[#This Row],[Taxa de Inscritos 2° Semestre 2024]]*0.6,0)</f>
        <v>0</v>
      </c>
      <c r="P205" s="479">
        <v>11</v>
      </c>
      <c r="Q205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205" s="480">
        <f>IF(Tabela1154[[#This Row],[Percentual CONCLUINTES - Escola de Inovadores 2024 2°Semestre]]&gt;0,Tabela1154[[#This Row],[Percentual CONCLUINTES - Escola de Inovadores 2024 2°Semestre]]*0.4,0)</f>
        <v>0</v>
      </c>
      <c r="S205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205" s="481">
        <f t="shared" si="3"/>
        <v>0.6</v>
      </c>
    </row>
    <row r="206" spans="1:20">
      <c r="A206" s="472">
        <v>256</v>
      </c>
      <c r="B206" s="492" t="s">
        <v>10</v>
      </c>
      <c r="C206" s="473">
        <v>624</v>
      </c>
      <c r="D206" s="474">
        <f>Tabela1154[[#This Row],[MATRICULADOS 1° Semestre 2024]]*0.075</f>
        <v>46.8</v>
      </c>
      <c r="E206" s="475">
        <v>207</v>
      </c>
      <c r="F206" s="476">
        <f>IF(Tabela1154[[#This Row],[INSCRITOS - Escola de Inovadores - 1° Semestre 2024]]&lt;Tabela1154[[#This Row],[Linha de Base (7,5%) 1°Semestre]],0,1)</f>
        <v>1</v>
      </c>
      <c r="G206" s="477">
        <f>IF(Tabela1154[[#This Row],[Percentual INSCRITOS - Escola de Inovadores - 2024]]&gt;0,Tabela1154[[#This Row],[Percentual INSCRITOS - Escola de Inovadores - 2024]]*0.6,0)</f>
        <v>0.6</v>
      </c>
      <c r="H206" s="475">
        <v>89</v>
      </c>
      <c r="I206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206" s="476">
        <f>IF(Tabela1154[[#This Row],[X = Percentual de inscritos na escola de inovadores para o cumprimento de meta ( Peso 0,60)]]=0, 0, Tabela1154[[#This Row],[Percentual CONCLUINTES - Escola de Inovadores 2024]]*0.4)</f>
        <v>0.4</v>
      </c>
      <c r="K206" s="473">
        <v>759</v>
      </c>
      <c r="L206" s="478">
        <f>Tabela1154[[#This Row],[Matriculados 2°Semestre em Curso]]*0.075</f>
        <v>56.924999999999997</v>
      </c>
      <c r="M206" s="479">
        <v>41</v>
      </c>
      <c r="N206" s="480">
        <f>IF(Tabela1154[[#This Row],[INSCRITOS - Escola de Inovadores - 2°Semestre 2024]]&lt;Tabela1154[[#This Row],[Linha de Base (7,5%) 2°Semestre]], 0,1)</f>
        <v>0</v>
      </c>
      <c r="O206" s="480">
        <f>IF(Tabela1154[[#This Row],[Taxa de Inscritos 2° Semestre 2024]]&gt;0,Tabela1154[[#This Row],[Taxa de Inscritos 2° Semestre 2024]]*0.6,0)</f>
        <v>0</v>
      </c>
      <c r="P206" s="479">
        <v>0</v>
      </c>
      <c r="Q206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206" s="480">
        <f>IF(Tabela1154[[#This Row],[Percentual CONCLUINTES - Escola de Inovadores 2024 2°Semestre]]&gt;0,Tabela1154[[#This Row],[Percentual CONCLUINTES - Escola de Inovadores 2024 2°Semestre]]*0.4,0)</f>
        <v>0</v>
      </c>
      <c r="S206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206" s="481">
        <f t="shared" si="3"/>
        <v>0.6</v>
      </c>
    </row>
    <row r="207" spans="1:20">
      <c r="A207" s="472">
        <v>260</v>
      </c>
      <c r="B207" s="492" t="s">
        <v>101</v>
      </c>
      <c r="C207" s="473">
        <v>836</v>
      </c>
      <c r="D207" s="474">
        <f>Tabela1154[[#This Row],[MATRICULADOS 1° Semestre 2024]]*0.075</f>
        <v>62.699999999999996</v>
      </c>
      <c r="E207" s="475">
        <v>97</v>
      </c>
      <c r="F207" s="476">
        <f>IF(Tabela1154[[#This Row],[INSCRITOS - Escola de Inovadores - 1° Semestre 2024]]&lt;Tabela1154[[#This Row],[Linha de Base (7,5%) 1°Semestre]],0,1)</f>
        <v>1</v>
      </c>
      <c r="G207" s="477">
        <f>IF(Tabela1154[[#This Row],[Percentual INSCRITOS - Escola de Inovadores - 2024]]&gt;0,Tabela1154[[#This Row],[Percentual INSCRITOS - Escola de Inovadores - 2024]]*0.6,0)</f>
        <v>0.6</v>
      </c>
      <c r="H207" s="475">
        <v>76</v>
      </c>
      <c r="I207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207" s="476">
        <f>IF(Tabela1154[[#This Row],[X = Percentual de inscritos na escola de inovadores para o cumprimento de meta ( Peso 0,60)]]=0, 0, Tabela1154[[#This Row],[Percentual CONCLUINTES - Escola de Inovadores 2024]]*0.4)</f>
        <v>0.4</v>
      </c>
      <c r="K207" s="473">
        <v>791</v>
      </c>
      <c r="L207" s="478">
        <f>Tabela1154[[#This Row],[Matriculados 2°Semestre em Curso]]*0.075</f>
        <v>59.324999999999996</v>
      </c>
      <c r="M207" s="479">
        <v>34</v>
      </c>
      <c r="N207" s="480">
        <f>IF(Tabela1154[[#This Row],[INSCRITOS - Escola de Inovadores - 2°Semestre 2024]]&lt;Tabela1154[[#This Row],[Linha de Base (7,5%) 2°Semestre]], 0,1)</f>
        <v>0</v>
      </c>
      <c r="O207" s="480">
        <f>IF(Tabela1154[[#This Row],[Taxa de Inscritos 2° Semestre 2024]]&gt;0,Tabela1154[[#This Row],[Taxa de Inscritos 2° Semestre 2024]]*0.6,0)</f>
        <v>0</v>
      </c>
      <c r="P207" s="479">
        <v>13</v>
      </c>
      <c r="Q207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207" s="480">
        <f>IF(Tabela1154[[#This Row],[Percentual CONCLUINTES - Escola de Inovadores 2024 2°Semestre]]&gt;0,Tabela1154[[#This Row],[Percentual CONCLUINTES - Escola de Inovadores 2024 2°Semestre]]*0.4,0)</f>
        <v>0</v>
      </c>
      <c r="S207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207" s="481">
        <f t="shared" si="3"/>
        <v>0.6</v>
      </c>
    </row>
    <row r="208" spans="1:20">
      <c r="A208" s="472">
        <v>261</v>
      </c>
      <c r="B208" s="492" t="s">
        <v>211</v>
      </c>
      <c r="C208" s="473">
        <v>847</v>
      </c>
      <c r="D208" s="474">
        <f>Tabela1154[[#This Row],[MATRICULADOS 1° Semestre 2024]]*0.075</f>
        <v>63.524999999999999</v>
      </c>
      <c r="E208" s="475">
        <v>47</v>
      </c>
      <c r="F208" s="476">
        <f>IF(Tabela1154[[#This Row],[INSCRITOS - Escola de Inovadores - 1° Semestre 2024]]&lt;Tabela1154[[#This Row],[Linha de Base (7,5%) 1°Semestre]],0,1)</f>
        <v>0</v>
      </c>
      <c r="G208" s="477">
        <f>IF(Tabela1154[[#This Row],[Percentual INSCRITOS - Escola de Inovadores - 2024]]&gt;0,Tabela1154[[#This Row],[Percentual INSCRITOS - Escola de Inovadores - 2024]]*0.6,0)</f>
        <v>0</v>
      </c>
      <c r="H208" s="475">
        <v>39</v>
      </c>
      <c r="I208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208" s="476">
        <f>IF(Tabela1154[[#This Row],[X = Percentual de inscritos na escola de inovadores para o cumprimento de meta ( Peso 0,60)]]=0, 0, Tabela1154[[#This Row],[Percentual CONCLUINTES - Escola de Inovadores 2024]]*0.4)</f>
        <v>0</v>
      </c>
      <c r="K208" s="473">
        <v>582</v>
      </c>
      <c r="L208" s="478">
        <f>Tabela1154[[#This Row],[Matriculados 2°Semestre em Curso]]*0.075</f>
        <v>43.65</v>
      </c>
      <c r="M208" s="479">
        <v>39</v>
      </c>
      <c r="N208" s="480">
        <f>IF(Tabela1154[[#This Row],[INSCRITOS - Escola de Inovadores - 2°Semestre 2024]]&lt;Tabela1154[[#This Row],[Linha de Base (7,5%) 2°Semestre]], 0,1)</f>
        <v>0</v>
      </c>
      <c r="O208" s="480">
        <f>IF(Tabela1154[[#This Row],[Taxa de Inscritos 2° Semestre 2024]]&gt;0,Tabela1154[[#This Row],[Taxa de Inscritos 2° Semestre 2024]]*0.6,0)</f>
        <v>0</v>
      </c>
      <c r="P208" s="479">
        <v>36</v>
      </c>
      <c r="Q208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208" s="480">
        <f>IF(Tabela1154[[#This Row],[Percentual CONCLUINTES - Escola de Inovadores 2024 2°Semestre]]&gt;0,Tabela1154[[#This Row],[Percentual CONCLUINTES - Escola de Inovadores 2024 2°Semestre]]*0.4,0)</f>
        <v>0</v>
      </c>
      <c r="S208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208" s="481">
        <f t="shared" si="3"/>
        <v>0</v>
      </c>
    </row>
    <row r="209" spans="1:20">
      <c r="A209" s="472">
        <v>262</v>
      </c>
      <c r="B209" s="492" t="s">
        <v>22</v>
      </c>
      <c r="C209" s="473">
        <v>670</v>
      </c>
      <c r="D209" s="474">
        <f>Tabela1154[[#This Row],[MATRICULADOS 1° Semestre 2024]]*0.075</f>
        <v>50.25</v>
      </c>
      <c r="E209" s="475">
        <v>87</v>
      </c>
      <c r="F209" s="476">
        <f>IF(Tabela1154[[#This Row],[INSCRITOS - Escola de Inovadores - 1° Semestre 2024]]&lt;Tabela1154[[#This Row],[Linha de Base (7,5%) 1°Semestre]],0,1)</f>
        <v>1</v>
      </c>
      <c r="G209" s="477">
        <f>IF(Tabela1154[[#This Row],[Percentual INSCRITOS - Escola de Inovadores - 2024]]&gt;0,Tabela1154[[#This Row],[Percentual INSCRITOS - Escola de Inovadores - 2024]]*0.6,0)</f>
        <v>0.6</v>
      </c>
      <c r="H209" s="475">
        <v>71</v>
      </c>
      <c r="I209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209" s="476">
        <f>IF(Tabela1154[[#This Row],[X = Percentual de inscritos na escola de inovadores para o cumprimento de meta ( Peso 0,60)]]=0, 0, Tabela1154[[#This Row],[Percentual CONCLUINTES - Escola de Inovadores 2024]]*0.4)</f>
        <v>0.4</v>
      </c>
      <c r="K209" s="473">
        <v>290</v>
      </c>
      <c r="L209" s="478">
        <f>Tabela1154[[#This Row],[Matriculados 2°Semestre em Curso]]*0.075</f>
        <v>21.75</v>
      </c>
      <c r="M209" s="479">
        <v>1</v>
      </c>
      <c r="N209" s="480">
        <f>IF(Tabela1154[[#This Row],[INSCRITOS - Escola de Inovadores - 2°Semestre 2024]]&lt;Tabela1154[[#This Row],[Linha de Base (7,5%) 2°Semestre]], 0,1)</f>
        <v>0</v>
      </c>
      <c r="O209" s="480">
        <f>IF(Tabela1154[[#This Row],[Taxa de Inscritos 2° Semestre 2024]]&gt;0,Tabela1154[[#This Row],[Taxa de Inscritos 2° Semestre 2024]]*0.6,0)</f>
        <v>0</v>
      </c>
      <c r="P209" s="479">
        <v>0</v>
      </c>
      <c r="Q209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209" s="480">
        <f>IF(Tabela1154[[#This Row],[Percentual CONCLUINTES - Escola de Inovadores 2024 2°Semestre]]&gt;0,Tabela1154[[#This Row],[Percentual CONCLUINTES - Escola de Inovadores 2024 2°Semestre]]*0.4,0)</f>
        <v>0</v>
      </c>
      <c r="S209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209" s="481">
        <f t="shared" si="3"/>
        <v>0.6</v>
      </c>
    </row>
    <row r="210" spans="1:20">
      <c r="A210" s="472">
        <v>263</v>
      </c>
      <c r="B210" s="492" t="s">
        <v>36</v>
      </c>
      <c r="C210" s="473">
        <v>308</v>
      </c>
      <c r="D210" s="474">
        <f>Tabela1154[[#This Row],[MATRICULADOS 1° Semestre 2024]]*0.075</f>
        <v>23.099999999999998</v>
      </c>
      <c r="E210" s="475">
        <v>41</v>
      </c>
      <c r="F210" s="476">
        <f>IF(Tabela1154[[#This Row],[INSCRITOS - Escola de Inovadores - 1° Semestre 2024]]&lt;Tabela1154[[#This Row],[Linha de Base (7,5%) 1°Semestre]],0,1)</f>
        <v>1</v>
      </c>
      <c r="G210" s="477">
        <f>IF(Tabela1154[[#This Row],[Percentual INSCRITOS - Escola de Inovadores - 2024]]&gt;0,Tabela1154[[#This Row],[Percentual INSCRITOS - Escola de Inovadores - 2024]]*0.6,0)</f>
        <v>0.6</v>
      </c>
      <c r="H210" s="475">
        <v>8</v>
      </c>
      <c r="I210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0.34632034632034636</v>
      </c>
      <c r="J210" s="476">
        <f>IF(Tabela1154[[#This Row],[X = Percentual de inscritos na escola de inovadores para o cumprimento de meta ( Peso 0,60)]]=0, 0, Tabela1154[[#This Row],[Percentual CONCLUINTES - Escola de Inovadores 2024]]*0.4)</f>
        <v>0.13852813852813856</v>
      </c>
      <c r="K210" s="473">
        <v>520</v>
      </c>
      <c r="L210" s="478">
        <f>Tabela1154[[#This Row],[Matriculados 2°Semestre em Curso]]*0.075</f>
        <v>39</v>
      </c>
      <c r="M210" s="479">
        <v>0</v>
      </c>
      <c r="N210" s="480">
        <f>IF(Tabela1154[[#This Row],[INSCRITOS - Escola de Inovadores - 2°Semestre 2024]]&lt;Tabela1154[[#This Row],[Linha de Base (7,5%) 2°Semestre]], 0,1)</f>
        <v>0</v>
      </c>
      <c r="O210" s="480">
        <f>IF(Tabela1154[[#This Row],[Taxa de Inscritos 2° Semestre 2024]]&gt;0,Tabela1154[[#This Row],[Taxa de Inscritos 2° Semestre 2024]]*0.6,0)</f>
        <v>0</v>
      </c>
      <c r="P210" s="479">
        <v>0</v>
      </c>
      <c r="Q210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210" s="480">
        <f>IF(Tabela1154[[#This Row],[Percentual CONCLUINTES - Escola de Inovadores 2024 2°Semestre]]&gt;0,Tabela1154[[#This Row],[Percentual CONCLUINTES - Escola de Inovadores 2024 2°Semestre]]*0.4,0)</f>
        <v>0</v>
      </c>
      <c r="S210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0.36926406926406929</v>
      </c>
      <c r="T210" s="481">
        <f t="shared" si="3"/>
        <v>0</v>
      </c>
    </row>
    <row r="211" spans="1:20">
      <c r="A211" s="472">
        <v>264</v>
      </c>
      <c r="B211" s="492" t="s">
        <v>215</v>
      </c>
      <c r="C211" s="473">
        <v>539</v>
      </c>
      <c r="D211" s="474">
        <f>Tabela1154[[#This Row],[MATRICULADOS 1° Semestre 2024]]*0.075</f>
        <v>40.424999999999997</v>
      </c>
      <c r="E211" s="475">
        <v>81</v>
      </c>
      <c r="F211" s="476">
        <f>IF(Tabela1154[[#This Row],[INSCRITOS - Escola de Inovadores - 1° Semestre 2024]]&lt;Tabela1154[[#This Row],[Linha de Base (7,5%) 1°Semestre]],0,1)</f>
        <v>1</v>
      </c>
      <c r="G211" s="477">
        <f>IF(Tabela1154[[#This Row],[Percentual INSCRITOS - Escola de Inovadores - 2024]]&gt;0,Tabela1154[[#This Row],[Percentual INSCRITOS - Escola de Inovadores - 2024]]*0.6,0)</f>
        <v>0.6</v>
      </c>
      <c r="H211" s="475">
        <v>60</v>
      </c>
      <c r="I211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211" s="476">
        <f>IF(Tabela1154[[#This Row],[X = Percentual de inscritos na escola de inovadores para o cumprimento de meta ( Peso 0,60)]]=0, 0, Tabela1154[[#This Row],[Percentual CONCLUINTES - Escola de Inovadores 2024]]*0.4)</f>
        <v>0.4</v>
      </c>
      <c r="K211" s="473">
        <v>553</v>
      </c>
      <c r="L211" s="478">
        <f>Tabela1154[[#This Row],[Matriculados 2°Semestre em Curso]]*0.075</f>
        <v>41.475000000000001</v>
      </c>
      <c r="M211" s="479">
        <v>4</v>
      </c>
      <c r="N211" s="480">
        <f>IF(Tabela1154[[#This Row],[INSCRITOS - Escola de Inovadores - 2°Semestre 2024]]&lt;Tabela1154[[#This Row],[Linha de Base (7,5%) 2°Semestre]], 0,1)</f>
        <v>0</v>
      </c>
      <c r="O211" s="480">
        <f>IF(Tabela1154[[#This Row],[Taxa de Inscritos 2° Semestre 2024]]&gt;0,Tabela1154[[#This Row],[Taxa de Inscritos 2° Semestre 2024]]*0.6,0)</f>
        <v>0</v>
      </c>
      <c r="P211" s="479">
        <v>0</v>
      </c>
      <c r="Q211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211" s="480">
        <f>IF(Tabela1154[[#This Row],[Percentual CONCLUINTES - Escola de Inovadores 2024 2°Semestre]]&gt;0,Tabela1154[[#This Row],[Percentual CONCLUINTES - Escola de Inovadores 2024 2°Semestre]]*0.4,0)</f>
        <v>0</v>
      </c>
      <c r="S211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211" s="481">
        <f t="shared" si="3"/>
        <v>0.6</v>
      </c>
    </row>
    <row r="212" spans="1:20">
      <c r="A212" s="472">
        <v>266</v>
      </c>
      <c r="B212" s="492" t="s">
        <v>199</v>
      </c>
      <c r="C212" s="473">
        <v>583</v>
      </c>
      <c r="D212" s="474">
        <f>Tabela1154[[#This Row],[MATRICULADOS 1° Semestre 2024]]*0.075</f>
        <v>43.725000000000001</v>
      </c>
      <c r="E212" s="475">
        <v>4</v>
      </c>
      <c r="F212" s="476">
        <f>IF(Tabela1154[[#This Row],[INSCRITOS - Escola de Inovadores - 1° Semestre 2024]]&lt;Tabela1154[[#This Row],[Linha de Base (7,5%) 1°Semestre]],0,1)</f>
        <v>0</v>
      </c>
      <c r="G212" s="477">
        <f>IF(Tabela1154[[#This Row],[Percentual INSCRITOS - Escola de Inovadores - 2024]]&gt;0,Tabela1154[[#This Row],[Percentual INSCRITOS - Escola de Inovadores - 2024]]*0.6,0)</f>
        <v>0</v>
      </c>
      <c r="H212" s="475">
        <v>0</v>
      </c>
      <c r="I212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212" s="476">
        <f>IF(Tabela1154[[#This Row],[X = Percentual de inscritos na escola de inovadores para o cumprimento de meta ( Peso 0,60)]]=0, 0, Tabela1154[[#This Row],[Percentual CONCLUINTES - Escola de Inovadores 2024]]*0.4)</f>
        <v>0</v>
      </c>
      <c r="K212" s="473">
        <v>182</v>
      </c>
      <c r="L212" s="478">
        <f>Tabela1154[[#This Row],[Matriculados 2°Semestre em Curso]]*0.075</f>
        <v>13.65</v>
      </c>
      <c r="M212" s="479">
        <v>46</v>
      </c>
      <c r="N212" s="480">
        <f>IF(Tabela1154[[#This Row],[INSCRITOS - Escola de Inovadores - 2°Semestre 2024]]&lt;Tabela1154[[#This Row],[Linha de Base (7,5%) 2°Semestre]], 0,1)</f>
        <v>1</v>
      </c>
      <c r="O212" s="480">
        <f>IF(Tabela1154[[#This Row],[Taxa de Inscritos 2° Semestre 2024]]&gt;0,Tabela1154[[#This Row],[Taxa de Inscritos 2° Semestre 2024]]*0.6,0)</f>
        <v>0.6</v>
      </c>
      <c r="P212" s="479">
        <v>25</v>
      </c>
      <c r="Q212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1</v>
      </c>
      <c r="R212" s="480">
        <f>IF(Tabela1154[[#This Row],[Percentual CONCLUINTES - Escola de Inovadores 2024 2°Semestre]]&gt;0,Tabela1154[[#This Row],[Percentual CONCLUINTES - Escola de Inovadores 2024 2°Semestre]]*0.4,0)</f>
        <v>0.4</v>
      </c>
      <c r="S212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212" s="481">
        <f t="shared" si="3"/>
        <v>0.6</v>
      </c>
    </row>
    <row r="213" spans="1:20">
      <c r="A213" s="472">
        <v>267</v>
      </c>
      <c r="B213" s="492" t="s">
        <v>216</v>
      </c>
      <c r="C213" s="473">
        <v>178</v>
      </c>
      <c r="D213" s="474">
        <f>Tabela1154[[#This Row],[MATRICULADOS 1° Semestre 2024]]*0.075</f>
        <v>13.35</v>
      </c>
      <c r="E213" s="475">
        <v>41</v>
      </c>
      <c r="F213" s="476">
        <f>IF(Tabela1154[[#This Row],[INSCRITOS - Escola de Inovadores - 1° Semestre 2024]]&lt;Tabela1154[[#This Row],[Linha de Base (7,5%) 1°Semestre]],0,1)</f>
        <v>1</v>
      </c>
      <c r="G213" s="477">
        <f>IF(Tabela1154[[#This Row],[Percentual INSCRITOS - Escola de Inovadores - 2024]]&gt;0,Tabela1154[[#This Row],[Percentual INSCRITOS - Escola de Inovadores - 2024]]*0.6,0)</f>
        <v>0.6</v>
      </c>
      <c r="H213" s="475">
        <v>26</v>
      </c>
      <c r="I213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213" s="476">
        <f>IF(Tabela1154[[#This Row],[X = Percentual de inscritos na escola de inovadores para o cumprimento de meta ( Peso 0,60)]]=0, 0, Tabela1154[[#This Row],[Percentual CONCLUINTES - Escola de Inovadores 2024]]*0.4)</f>
        <v>0.4</v>
      </c>
      <c r="K213" s="473">
        <v>649</v>
      </c>
      <c r="L213" s="478">
        <f>Tabela1154[[#This Row],[Matriculados 2°Semestre em Curso]]*0.075</f>
        <v>48.674999999999997</v>
      </c>
      <c r="M213" s="479">
        <v>4</v>
      </c>
      <c r="N213" s="480">
        <f>IF(Tabela1154[[#This Row],[INSCRITOS - Escola de Inovadores - 2°Semestre 2024]]&lt;Tabela1154[[#This Row],[Linha de Base (7,5%) 2°Semestre]], 0,1)</f>
        <v>0</v>
      </c>
      <c r="O213" s="480">
        <f>IF(Tabela1154[[#This Row],[Taxa de Inscritos 2° Semestre 2024]]&gt;0,Tabela1154[[#This Row],[Taxa de Inscritos 2° Semestre 2024]]*0.6,0)</f>
        <v>0</v>
      </c>
      <c r="P213" s="479">
        <v>0</v>
      </c>
      <c r="Q213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213" s="480">
        <f>IF(Tabela1154[[#This Row],[Percentual CONCLUINTES - Escola de Inovadores 2024 2°Semestre]]&gt;0,Tabela1154[[#This Row],[Percentual CONCLUINTES - Escola de Inovadores 2024 2°Semestre]]*0.4,0)</f>
        <v>0</v>
      </c>
      <c r="S213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213" s="481">
        <f t="shared" si="3"/>
        <v>0.6</v>
      </c>
    </row>
    <row r="214" spans="1:20">
      <c r="A214" s="472">
        <v>268</v>
      </c>
      <c r="B214" s="492" t="s">
        <v>120</v>
      </c>
      <c r="C214" s="473">
        <v>646</v>
      </c>
      <c r="D214" s="474">
        <f>Tabela1154[[#This Row],[MATRICULADOS 1° Semestre 2024]]*0.075</f>
        <v>48.449999999999996</v>
      </c>
      <c r="E214" s="475">
        <v>8</v>
      </c>
      <c r="F214" s="476">
        <f>IF(Tabela1154[[#This Row],[INSCRITOS - Escola de Inovadores - 1° Semestre 2024]]&lt;Tabela1154[[#This Row],[Linha de Base (7,5%) 1°Semestre]],0,1)</f>
        <v>0</v>
      </c>
      <c r="G214" s="477">
        <f>IF(Tabela1154[[#This Row],[Percentual INSCRITOS - Escola de Inovadores - 2024]]&gt;0,Tabela1154[[#This Row],[Percentual INSCRITOS - Escola de Inovadores - 2024]]*0.6,0)</f>
        <v>0</v>
      </c>
      <c r="H214" s="475">
        <v>0</v>
      </c>
      <c r="I214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214" s="476">
        <f>IF(Tabela1154[[#This Row],[X = Percentual de inscritos na escola de inovadores para o cumprimento de meta ( Peso 0,60)]]=0, 0, Tabela1154[[#This Row],[Percentual CONCLUINTES - Escola de Inovadores 2024]]*0.4)</f>
        <v>0</v>
      </c>
      <c r="K214" s="473">
        <v>350</v>
      </c>
      <c r="L214" s="478">
        <f>Tabela1154[[#This Row],[Matriculados 2°Semestre em Curso]]*0.075</f>
        <v>26.25</v>
      </c>
      <c r="M214" s="479">
        <v>17</v>
      </c>
      <c r="N214" s="480">
        <f>IF(Tabela1154[[#This Row],[INSCRITOS - Escola de Inovadores - 2°Semestre 2024]]&lt;Tabela1154[[#This Row],[Linha de Base (7,5%) 2°Semestre]], 0,1)</f>
        <v>0</v>
      </c>
      <c r="O214" s="480">
        <f>IF(Tabela1154[[#This Row],[Taxa de Inscritos 2° Semestre 2024]]&gt;0,Tabela1154[[#This Row],[Taxa de Inscritos 2° Semestre 2024]]*0.6,0)</f>
        <v>0</v>
      </c>
      <c r="P214" s="479">
        <v>2</v>
      </c>
      <c r="Q214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214" s="480">
        <f>IF(Tabela1154[[#This Row],[Percentual CONCLUINTES - Escola de Inovadores 2024 2°Semestre]]&gt;0,Tabela1154[[#This Row],[Percentual CONCLUINTES - Escola de Inovadores 2024 2°Semestre]]*0.4,0)</f>
        <v>0</v>
      </c>
      <c r="S214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214" s="481">
        <f t="shared" si="3"/>
        <v>0</v>
      </c>
    </row>
    <row r="215" spans="1:20">
      <c r="A215" s="472">
        <v>271</v>
      </c>
      <c r="B215" s="492" t="s">
        <v>198</v>
      </c>
      <c r="C215" s="473">
        <v>358</v>
      </c>
      <c r="D215" s="474">
        <f>Tabela1154[[#This Row],[MATRICULADOS 1° Semestre 2024]]*0.075</f>
        <v>26.849999999999998</v>
      </c>
      <c r="E215" s="475">
        <v>3</v>
      </c>
      <c r="F215" s="476">
        <f>IF(Tabela1154[[#This Row],[INSCRITOS - Escola de Inovadores - 1° Semestre 2024]]&lt;Tabela1154[[#This Row],[Linha de Base (7,5%) 1°Semestre]],0,1)</f>
        <v>0</v>
      </c>
      <c r="G215" s="477">
        <f>IF(Tabela1154[[#This Row],[Percentual INSCRITOS - Escola de Inovadores - 2024]]&gt;0,Tabela1154[[#This Row],[Percentual INSCRITOS - Escola de Inovadores - 2024]]*0.6,0)</f>
        <v>0</v>
      </c>
      <c r="H215" s="475">
        <v>0</v>
      </c>
      <c r="I215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215" s="476">
        <f>IF(Tabela1154[[#This Row],[X = Percentual de inscritos na escola de inovadores para o cumprimento de meta ( Peso 0,60)]]=0, 0, Tabela1154[[#This Row],[Percentual CONCLUINTES - Escola de Inovadores 2024]]*0.4)</f>
        <v>0</v>
      </c>
      <c r="K215" s="473">
        <v>241</v>
      </c>
      <c r="L215" s="478">
        <f>Tabela1154[[#This Row],[Matriculados 2°Semestre em Curso]]*0.075</f>
        <v>18.074999999999999</v>
      </c>
      <c r="M215" s="479">
        <v>0</v>
      </c>
      <c r="N215" s="480">
        <f>IF(Tabela1154[[#This Row],[INSCRITOS - Escola de Inovadores - 2°Semestre 2024]]&lt;Tabela1154[[#This Row],[Linha de Base (7,5%) 2°Semestre]], 0,1)</f>
        <v>0</v>
      </c>
      <c r="O215" s="480">
        <f>IF(Tabela1154[[#This Row],[Taxa de Inscritos 2° Semestre 2024]]&gt;0,Tabela1154[[#This Row],[Taxa de Inscritos 2° Semestre 2024]]*0.6,0)</f>
        <v>0</v>
      </c>
      <c r="P215" s="479">
        <v>0</v>
      </c>
      <c r="Q215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215" s="480">
        <f>IF(Tabela1154[[#This Row],[Percentual CONCLUINTES - Escola de Inovadores 2024 2°Semestre]]&gt;0,Tabela1154[[#This Row],[Percentual CONCLUINTES - Escola de Inovadores 2024 2°Semestre]]*0.4,0)</f>
        <v>0</v>
      </c>
      <c r="S215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215" s="481">
        <f t="shared" si="3"/>
        <v>0</v>
      </c>
    </row>
    <row r="216" spans="1:20">
      <c r="A216" s="472">
        <v>273</v>
      </c>
      <c r="B216" s="492" t="s">
        <v>82</v>
      </c>
      <c r="C216" s="473">
        <v>229</v>
      </c>
      <c r="D216" s="474">
        <f>Tabela1154[[#This Row],[MATRICULADOS 1° Semestre 2024]]*0.075</f>
        <v>17.175000000000001</v>
      </c>
      <c r="E216" s="475">
        <v>74</v>
      </c>
      <c r="F216" s="476">
        <f>IF(Tabela1154[[#This Row],[INSCRITOS - Escola de Inovadores - 1° Semestre 2024]]&lt;Tabela1154[[#This Row],[Linha de Base (7,5%) 1°Semestre]],0,1)</f>
        <v>1</v>
      </c>
      <c r="G216" s="477">
        <f>IF(Tabela1154[[#This Row],[Percentual INSCRITOS - Escola de Inovadores - 2024]]&gt;0,Tabela1154[[#This Row],[Percentual INSCRITOS - Escola de Inovadores - 2024]]*0.6,0)</f>
        <v>0.6</v>
      </c>
      <c r="H216" s="475">
        <v>30</v>
      </c>
      <c r="I216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216" s="476">
        <f>IF(Tabela1154[[#This Row],[X = Percentual de inscritos na escola de inovadores para o cumprimento de meta ( Peso 0,60)]]=0, 0, Tabela1154[[#This Row],[Percentual CONCLUINTES - Escola de Inovadores 2024]]*0.4)</f>
        <v>0.4</v>
      </c>
      <c r="K216" s="473">
        <v>636</v>
      </c>
      <c r="L216" s="478">
        <f>Tabela1154[[#This Row],[Matriculados 2°Semestre em Curso]]*0.075</f>
        <v>47.699999999999996</v>
      </c>
      <c r="M216" s="479">
        <v>13</v>
      </c>
      <c r="N216" s="480">
        <f>IF(Tabela1154[[#This Row],[INSCRITOS - Escola de Inovadores - 2°Semestre 2024]]&lt;Tabela1154[[#This Row],[Linha de Base (7,5%) 2°Semestre]], 0,1)</f>
        <v>0</v>
      </c>
      <c r="O216" s="480">
        <f>IF(Tabela1154[[#This Row],[Taxa de Inscritos 2° Semestre 2024]]&gt;0,Tabela1154[[#This Row],[Taxa de Inscritos 2° Semestre 2024]]*0.6,0)</f>
        <v>0</v>
      </c>
      <c r="P216" s="479">
        <v>5</v>
      </c>
      <c r="Q216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216" s="480">
        <f>IF(Tabela1154[[#This Row],[Percentual CONCLUINTES - Escola de Inovadores 2024 2°Semestre]]&gt;0,Tabela1154[[#This Row],[Percentual CONCLUINTES - Escola de Inovadores 2024 2°Semestre]]*0.4,0)</f>
        <v>0</v>
      </c>
      <c r="S216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216" s="481">
        <f t="shared" si="3"/>
        <v>0.6</v>
      </c>
    </row>
    <row r="217" spans="1:20">
      <c r="A217" s="472">
        <v>274</v>
      </c>
      <c r="B217" s="492" t="s">
        <v>75</v>
      </c>
      <c r="C217" s="473">
        <v>654</v>
      </c>
      <c r="D217" s="474">
        <f>Tabela1154[[#This Row],[MATRICULADOS 1° Semestre 2024]]*0.075</f>
        <v>49.05</v>
      </c>
      <c r="E217" s="475">
        <v>73</v>
      </c>
      <c r="F217" s="476">
        <f>IF(Tabela1154[[#This Row],[INSCRITOS - Escola de Inovadores - 1° Semestre 2024]]&lt;Tabela1154[[#This Row],[Linha de Base (7,5%) 1°Semestre]],0,1)</f>
        <v>1</v>
      </c>
      <c r="G217" s="477">
        <f>IF(Tabela1154[[#This Row],[Percentual INSCRITOS - Escola de Inovadores - 2024]]&gt;0,Tabela1154[[#This Row],[Percentual INSCRITOS - Escola de Inovadores - 2024]]*0.6,0)</f>
        <v>0.6</v>
      </c>
      <c r="H217" s="475">
        <v>48</v>
      </c>
      <c r="I217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0.97859327217125391</v>
      </c>
      <c r="J217" s="476">
        <f>IF(Tabela1154[[#This Row],[X = Percentual de inscritos na escola de inovadores para o cumprimento de meta ( Peso 0,60)]]=0, 0, Tabela1154[[#This Row],[Percentual CONCLUINTES - Escola de Inovadores 2024]]*0.4)</f>
        <v>0.39143730886850159</v>
      </c>
      <c r="K217" s="473">
        <v>393</v>
      </c>
      <c r="L217" s="478">
        <f>Tabela1154[[#This Row],[Matriculados 2°Semestre em Curso]]*0.075</f>
        <v>29.474999999999998</v>
      </c>
      <c r="M217" s="479">
        <v>44</v>
      </c>
      <c r="N217" s="480">
        <f>IF(Tabela1154[[#This Row],[INSCRITOS - Escola de Inovadores - 2°Semestre 2024]]&lt;Tabela1154[[#This Row],[Linha de Base (7,5%) 2°Semestre]], 0,1)</f>
        <v>1</v>
      </c>
      <c r="O217" s="480">
        <f>IF(Tabela1154[[#This Row],[Taxa de Inscritos 2° Semestre 2024]]&gt;0,Tabela1154[[#This Row],[Taxa de Inscritos 2° Semestre 2024]]*0.6,0)</f>
        <v>0.6</v>
      </c>
      <c r="P217" s="479">
        <v>8</v>
      </c>
      <c r="Q217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0.27141645462256153</v>
      </c>
      <c r="R217" s="480">
        <f>IF(Tabela1154[[#This Row],[Percentual CONCLUINTES - Escola de Inovadores 2024 2°Semestre]]&gt;0,Tabela1154[[#This Row],[Percentual CONCLUINTES - Escola de Inovadores 2024 2°Semestre]]*0.4,0)</f>
        <v>0.10856658184902462</v>
      </c>
      <c r="S217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0.85000194535876306</v>
      </c>
      <c r="T217" s="481">
        <f t="shared" si="3"/>
        <v>1</v>
      </c>
    </row>
    <row r="218" spans="1:20">
      <c r="A218" s="472">
        <v>277</v>
      </c>
      <c r="B218" s="492" t="s">
        <v>122</v>
      </c>
      <c r="C218" s="473">
        <v>410</v>
      </c>
      <c r="D218" s="474">
        <f>Tabela1154[[#This Row],[MATRICULADOS 1° Semestre 2024]]*0.075</f>
        <v>30.75</v>
      </c>
      <c r="E218" s="475">
        <v>59</v>
      </c>
      <c r="F218" s="476">
        <f>IF(Tabela1154[[#This Row],[INSCRITOS - Escola de Inovadores - 1° Semestre 2024]]&lt;Tabela1154[[#This Row],[Linha de Base (7,5%) 1°Semestre]],0,1)</f>
        <v>1</v>
      </c>
      <c r="G218" s="477">
        <f>IF(Tabela1154[[#This Row],[Percentual INSCRITOS - Escola de Inovadores - 2024]]&gt;0,Tabela1154[[#This Row],[Percentual INSCRITOS - Escola de Inovadores - 2024]]*0.6,0)</f>
        <v>0.6</v>
      </c>
      <c r="H218" s="475">
        <v>50</v>
      </c>
      <c r="I218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218" s="476">
        <f>IF(Tabela1154[[#This Row],[X = Percentual de inscritos na escola de inovadores para o cumprimento de meta ( Peso 0,60)]]=0, 0, Tabela1154[[#This Row],[Percentual CONCLUINTES - Escola de Inovadores 2024]]*0.4)</f>
        <v>0.4</v>
      </c>
      <c r="K218" s="473">
        <v>548</v>
      </c>
      <c r="L218" s="478">
        <f>Tabela1154[[#This Row],[Matriculados 2°Semestre em Curso]]*0.075</f>
        <v>41.1</v>
      </c>
      <c r="M218" s="479">
        <v>18</v>
      </c>
      <c r="N218" s="480">
        <f>IF(Tabela1154[[#This Row],[INSCRITOS - Escola de Inovadores - 2°Semestre 2024]]&lt;Tabela1154[[#This Row],[Linha de Base (7,5%) 2°Semestre]], 0,1)</f>
        <v>0</v>
      </c>
      <c r="O218" s="480">
        <f>IF(Tabela1154[[#This Row],[Taxa de Inscritos 2° Semestre 2024]]&gt;0,Tabela1154[[#This Row],[Taxa de Inscritos 2° Semestre 2024]]*0.6,0)</f>
        <v>0</v>
      </c>
      <c r="P218" s="479">
        <v>15</v>
      </c>
      <c r="Q218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218" s="480">
        <f>IF(Tabela1154[[#This Row],[Percentual CONCLUINTES - Escola de Inovadores 2024 2°Semestre]]&gt;0,Tabela1154[[#This Row],[Percentual CONCLUINTES - Escola de Inovadores 2024 2°Semestre]]*0.4,0)</f>
        <v>0</v>
      </c>
      <c r="S218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218" s="481">
        <f t="shared" si="3"/>
        <v>0.6</v>
      </c>
    </row>
    <row r="219" spans="1:20">
      <c r="A219" s="472">
        <v>279</v>
      </c>
      <c r="B219" s="492" t="s">
        <v>221</v>
      </c>
      <c r="C219" s="473">
        <v>542</v>
      </c>
      <c r="D219" s="474">
        <f>Tabela1154[[#This Row],[MATRICULADOS 1° Semestre 2024]]*0.075</f>
        <v>40.65</v>
      </c>
      <c r="E219" s="475">
        <v>21</v>
      </c>
      <c r="F219" s="476">
        <f>IF(Tabela1154[[#This Row],[INSCRITOS - Escola de Inovadores - 1° Semestre 2024]]&lt;Tabela1154[[#This Row],[Linha de Base (7,5%) 1°Semestre]],0,1)</f>
        <v>0</v>
      </c>
      <c r="G219" s="477">
        <f>IF(Tabela1154[[#This Row],[Percentual INSCRITOS - Escola de Inovadores - 2024]]&gt;0,Tabela1154[[#This Row],[Percentual INSCRITOS - Escola de Inovadores - 2024]]*0.6,0)</f>
        <v>0</v>
      </c>
      <c r="H219" s="475">
        <v>0</v>
      </c>
      <c r="I219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219" s="476">
        <f>IF(Tabela1154[[#This Row],[X = Percentual de inscritos na escola de inovadores para o cumprimento de meta ( Peso 0,60)]]=0, 0, Tabela1154[[#This Row],[Percentual CONCLUINTES - Escola de Inovadores 2024]]*0.4)</f>
        <v>0</v>
      </c>
      <c r="K219" s="473">
        <v>294</v>
      </c>
      <c r="L219" s="478">
        <f>Tabela1154[[#This Row],[Matriculados 2°Semestre em Curso]]*0.075</f>
        <v>22.05</v>
      </c>
      <c r="M219" s="479">
        <v>49</v>
      </c>
      <c r="N219" s="480">
        <f>IF(Tabela1154[[#This Row],[INSCRITOS - Escola de Inovadores - 2°Semestre 2024]]&lt;Tabela1154[[#This Row],[Linha de Base (7,5%) 2°Semestre]], 0,1)</f>
        <v>1</v>
      </c>
      <c r="O219" s="480">
        <f>IF(Tabela1154[[#This Row],[Taxa de Inscritos 2° Semestre 2024]]&gt;0,Tabela1154[[#This Row],[Taxa de Inscritos 2° Semestre 2024]]*0.6,0)</f>
        <v>0.6</v>
      </c>
      <c r="P219" s="479">
        <v>32</v>
      </c>
      <c r="Q219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1</v>
      </c>
      <c r="R219" s="480">
        <f>IF(Tabela1154[[#This Row],[Percentual CONCLUINTES - Escola de Inovadores 2024 2°Semestre]]&gt;0,Tabela1154[[#This Row],[Percentual CONCLUINTES - Escola de Inovadores 2024 2°Semestre]]*0.4,0)</f>
        <v>0.4</v>
      </c>
      <c r="S219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219" s="481">
        <f t="shared" si="3"/>
        <v>0.6</v>
      </c>
    </row>
    <row r="220" spans="1:20">
      <c r="A220" s="472">
        <v>281</v>
      </c>
      <c r="B220" s="492" t="s">
        <v>12</v>
      </c>
      <c r="C220" s="473">
        <v>311</v>
      </c>
      <c r="D220" s="474">
        <f>Tabela1154[[#This Row],[MATRICULADOS 1° Semestre 2024]]*0.075</f>
        <v>23.324999999999999</v>
      </c>
      <c r="E220" s="475">
        <v>199</v>
      </c>
      <c r="F220" s="476">
        <f>IF(Tabela1154[[#This Row],[INSCRITOS - Escola de Inovadores - 1° Semestre 2024]]&lt;Tabela1154[[#This Row],[Linha de Base (7,5%) 1°Semestre]],0,1)</f>
        <v>1</v>
      </c>
      <c r="G220" s="477">
        <f>IF(Tabela1154[[#This Row],[Percentual INSCRITOS - Escola de Inovadores - 2024]]&gt;0,Tabela1154[[#This Row],[Percentual INSCRITOS - Escola de Inovadores - 2024]]*0.6,0)</f>
        <v>0.6</v>
      </c>
      <c r="H220" s="475">
        <v>122</v>
      </c>
      <c r="I220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220" s="476">
        <f>IF(Tabela1154[[#This Row],[X = Percentual de inscritos na escola de inovadores para o cumprimento de meta ( Peso 0,60)]]=0, 0, Tabela1154[[#This Row],[Percentual CONCLUINTES - Escola de Inovadores 2024]]*0.4)</f>
        <v>0.4</v>
      </c>
      <c r="K220" s="473">
        <v>684</v>
      </c>
      <c r="L220" s="478">
        <f>Tabela1154[[#This Row],[Matriculados 2°Semestre em Curso]]*0.075</f>
        <v>51.3</v>
      </c>
      <c r="M220" s="479">
        <v>1</v>
      </c>
      <c r="N220" s="480">
        <f>IF(Tabela1154[[#This Row],[INSCRITOS - Escola de Inovadores - 2°Semestre 2024]]&lt;Tabela1154[[#This Row],[Linha de Base (7,5%) 2°Semestre]], 0,1)</f>
        <v>0</v>
      </c>
      <c r="O220" s="480">
        <f>IF(Tabela1154[[#This Row],[Taxa de Inscritos 2° Semestre 2024]]&gt;0,Tabela1154[[#This Row],[Taxa de Inscritos 2° Semestre 2024]]*0.6,0)</f>
        <v>0</v>
      </c>
      <c r="P220" s="479">
        <v>0</v>
      </c>
      <c r="Q220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220" s="480">
        <f>IF(Tabela1154[[#This Row],[Percentual CONCLUINTES - Escola de Inovadores 2024 2°Semestre]]&gt;0,Tabela1154[[#This Row],[Percentual CONCLUINTES - Escola de Inovadores 2024 2°Semestre]]*0.4,0)</f>
        <v>0</v>
      </c>
      <c r="S220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220" s="481">
        <f t="shared" si="3"/>
        <v>0.6</v>
      </c>
    </row>
    <row r="221" spans="1:20">
      <c r="A221" s="472">
        <v>282</v>
      </c>
      <c r="B221" s="492" t="s">
        <v>56</v>
      </c>
      <c r="C221" s="473">
        <v>720</v>
      </c>
      <c r="D221" s="474">
        <f>Tabela1154[[#This Row],[MATRICULADOS 1° Semestre 2024]]*0.075</f>
        <v>54</v>
      </c>
      <c r="E221" s="475">
        <v>69</v>
      </c>
      <c r="F221" s="476">
        <f>IF(Tabela1154[[#This Row],[INSCRITOS - Escola de Inovadores - 1° Semestre 2024]]&lt;Tabela1154[[#This Row],[Linha de Base (7,5%) 1°Semestre]],0,1)</f>
        <v>1</v>
      </c>
      <c r="G221" s="477">
        <f>IF(Tabela1154[[#This Row],[Percentual INSCRITOS - Escola de Inovadores - 2024]]&gt;0,Tabela1154[[#This Row],[Percentual INSCRITOS - Escola de Inovadores - 2024]]*0.6,0)</f>
        <v>0.6</v>
      </c>
      <c r="H221" s="475">
        <v>0</v>
      </c>
      <c r="I221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221" s="476">
        <f>IF(Tabela1154[[#This Row],[X = Percentual de inscritos na escola de inovadores para o cumprimento de meta ( Peso 0,60)]]=0, 0, Tabela1154[[#This Row],[Percentual CONCLUINTES - Escola de Inovadores 2024]]*0.4)</f>
        <v>0</v>
      </c>
      <c r="K221" s="473">
        <v>969</v>
      </c>
      <c r="L221" s="478">
        <f>Tabela1154[[#This Row],[Matriculados 2°Semestre em Curso]]*0.075</f>
        <v>72.674999999999997</v>
      </c>
      <c r="M221" s="479">
        <v>1</v>
      </c>
      <c r="N221" s="480">
        <f>IF(Tabela1154[[#This Row],[INSCRITOS - Escola de Inovadores - 2°Semestre 2024]]&lt;Tabela1154[[#This Row],[Linha de Base (7,5%) 2°Semestre]], 0,1)</f>
        <v>0</v>
      </c>
      <c r="O221" s="480">
        <f>IF(Tabela1154[[#This Row],[Taxa de Inscritos 2° Semestre 2024]]&gt;0,Tabela1154[[#This Row],[Taxa de Inscritos 2° Semestre 2024]]*0.6,0)</f>
        <v>0</v>
      </c>
      <c r="P221" s="479">
        <v>0</v>
      </c>
      <c r="Q221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221" s="480">
        <f>IF(Tabela1154[[#This Row],[Percentual CONCLUINTES - Escola de Inovadores 2024 2°Semestre]]&gt;0,Tabela1154[[#This Row],[Percentual CONCLUINTES - Escola de Inovadores 2024 2°Semestre]]*0.4,0)</f>
        <v>0</v>
      </c>
      <c r="S221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</v>
      </c>
      <c r="T221" s="481">
        <f t="shared" si="3"/>
        <v>0</v>
      </c>
    </row>
    <row r="222" spans="1:20">
      <c r="A222" s="472">
        <v>285</v>
      </c>
      <c r="B222" s="492" t="s">
        <v>32</v>
      </c>
      <c r="C222" s="473">
        <v>1021</v>
      </c>
      <c r="D222" s="474">
        <f>Tabela1154[[#This Row],[MATRICULADOS 1° Semestre 2024]]*0.075</f>
        <v>76.575000000000003</v>
      </c>
      <c r="E222" s="475">
        <v>12</v>
      </c>
      <c r="F222" s="476">
        <f>IF(Tabela1154[[#This Row],[INSCRITOS - Escola de Inovadores - 1° Semestre 2024]]&lt;Tabela1154[[#This Row],[Linha de Base (7,5%) 1°Semestre]],0,1)</f>
        <v>0</v>
      </c>
      <c r="G222" s="477">
        <f>IF(Tabela1154[[#This Row],[Percentual INSCRITOS - Escola de Inovadores - 2024]]&gt;0,Tabela1154[[#This Row],[Percentual INSCRITOS - Escola de Inovadores - 2024]]*0.6,0)</f>
        <v>0</v>
      </c>
      <c r="H222" s="475">
        <v>1</v>
      </c>
      <c r="I222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222" s="476">
        <f>IF(Tabela1154[[#This Row],[X = Percentual de inscritos na escola de inovadores para o cumprimento de meta ( Peso 0,60)]]=0, 0, Tabela1154[[#This Row],[Percentual CONCLUINTES - Escola de Inovadores 2024]]*0.4)</f>
        <v>0</v>
      </c>
      <c r="K222" s="473">
        <v>349</v>
      </c>
      <c r="L222" s="478">
        <f>Tabela1154[[#This Row],[Matriculados 2°Semestre em Curso]]*0.075</f>
        <v>26.175000000000001</v>
      </c>
      <c r="M222" s="479">
        <v>10</v>
      </c>
      <c r="N222" s="480">
        <f>IF(Tabela1154[[#This Row],[INSCRITOS - Escola de Inovadores - 2°Semestre 2024]]&lt;Tabela1154[[#This Row],[Linha de Base (7,5%) 2°Semestre]], 0,1)</f>
        <v>0</v>
      </c>
      <c r="O222" s="480">
        <f>IF(Tabela1154[[#This Row],[Taxa de Inscritos 2° Semestre 2024]]&gt;0,Tabela1154[[#This Row],[Taxa de Inscritos 2° Semestre 2024]]*0.6,0)</f>
        <v>0</v>
      </c>
      <c r="P222" s="479">
        <v>0</v>
      </c>
      <c r="Q222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222" s="480">
        <f>IF(Tabela1154[[#This Row],[Percentual CONCLUINTES - Escola de Inovadores 2024 2°Semestre]]&gt;0,Tabela1154[[#This Row],[Percentual CONCLUINTES - Escola de Inovadores 2024 2°Semestre]]*0.4,0)</f>
        <v>0</v>
      </c>
      <c r="S222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222" s="481">
        <f t="shared" si="3"/>
        <v>0</v>
      </c>
    </row>
    <row r="223" spans="1:20">
      <c r="A223" s="472">
        <v>287</v>
      </c>
      <c r="B223" s="492" t="s">
        <v>103</v>
      </c>
      <c r="C223" s="473">
        <v>359</v>
      </c>
      <c r="D223" s="474">
        <f>Tabela1154[[#This Row],[MATRICULADOS 1° Semestre 2024]]*0.075</f>
        <v>26.925000000000001</v>
      </c>
      <c r="E223" s="475">
        <v>50</v>
      </c>
      <c r="F223" s="476">
        <f>IF(Tabela1154[[#This Row],[INSCRITOS - Escola de Inovadores - 1° Semestre 2024]]&lt;Tabela1154[[#This Row],[Linha de Base (7,5%) 1°Semestre]],0,1)</f>
        <v>1</v>
      </c>
      <c r="G223" s="477">
        <f>IF(Tabela1154[[#This Row],[Percentual INSCRITOS - Escola de Inovadores - 2024]]&gt;0,Tabela1154[[#This Row],[Percentual INSCRITOS - Escola de Inovadores - 2024]]*0.6,0)</f>
        <v>0.6</v>
      </c>
      <c r="H223" s="475">
        <v>4</v>
      </c>
      <c r="I223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0.14856081708449395</v>
      </c>
      <c r="J223" s="476">
        <f>IF(Tabela1154[[#This Row],[X = Percentual de inscritos na escola de inovadores para o cumprimento de meta ( Peso 0,60)]]=0, 0, Tabela1154[[#This Row],[Percentual CONCLUINTES - Escola de Inovadores 2024]]*0.4)</f>
        <v>5.9424326833797586E-2</v>
      </c>
      <c r="K223" s="473">
        <v>337</v>
      </c>
      <c r="L223" s="478">
        <f>Tabela1154[[#This Row],[Matriculados 2°Semestre em Curso]]*0.075</f>
        <v>25.274999999999999</v>
      </c>
      <c r="M223" s="479">
        <v>4</v>
      </c>
      <c r="N223" s="480">
        <f>IF(Tabela1154[[#This Row],[INSCRITOS - Escola de Inovadores - 2°Semestre 2024]]&lt;Tabela1154[[#This Row],[Linha de Base (7,5%) 2°Semestre]], 0,1)</f>
        <v>0</v>
      </c>
      <c r="O223" s="480">
        <f>IF(Tabela1154[[#This Row],[Taxa de Inscritos 2° Semestre 2024]]&gt;0,Tabela1154[[#This Row],[Taxa de Inscritos 2° Semestre 2024]]*0.6,0)</f>
        <v>0</v>
      </c>
      <c r="P223" s="479">
        <v>0</v>
      </c>
      <c r="Q223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223" s="480">
        <f>IF(Tabela1154[[#This Row],[Percentual CONCLUINTES - Escola de Inovadores 2024 2°Semestre]]&gt;0,Tabela1154[[#This Row],[Percentual CONCLUINTES - Escola de Inovadores 2024 2°Semestre]]*0.4,0)</f>
        <v>0</v>
      </c>
      <c r="S223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0.3297121634168988</v>
      </c>
      <c r="T223" s="481">
        <f t="shared" si="3"/>
        <v>0</v>
      </c>
    </row>
    <row r="224" spans="1:20">
      <c r="A224" s="472">
        <v>289</v>
      </c>
      <c r="B224" s="492" t="s">
        <v>212</v>
      </c>
      <c r="C224" s="473">
        <v>389</v>
      </c>
      <c r="D224" s="474">
        <f>Tabela1154[[#This Row],[MATRICULADOS 1° Semestre 2024]]*0.075</f>
        <v>29.174999999999997</v>
      </c>
      <c r="E224" s="475">
        <v>2</v>
      </c>
      <c r="F224" s="476">
        <f>IF(Tabela1154[[#This Row],[INSCRITOS - Escola de Inovadores - 1° Semestre 2024]]&lt;Tabela1154[[#This Row],[Linha de Base (7,5%) 1°Semestre]],0,1)</f>
        <v>0</v>
      </c>
      <c r="G224" s="477">
        <f>IF(Tabela1154[[#This Row],[Percentual INSCRITOS - Escola de Inovadores - 2024]]&gt;0,Tabela1154[[#This Row],[Percentual INSCRITOS - Escola de Inovadores - 2024]]*0.6,0)</f>
        <v>0</v>
      </c>
      <c r="H224" s="475">
        <v>1</v>
      </c>
      <c r="I224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224" s="476">
        <f>IF(Tabela1154[[#This Row],[X = Percentual de inscritos na escola de inovadores para o cumprimento de meta ( Peso 0,60)]]=0, 0, Tabela1154[[#This Row],[Percentual CONCLUINTES - Escola de Inovadores 2024]]*0.4)</f>
        <v>0</v>
      </c>
      <c r="K224" s="473">
        <v>370</v>
      </c>
      <c r="L224" s="478">
        <f>Tabela1154[[#This Row],[Matriculados 2°Semestre em Curso]]*0.075</f>
        <v>27.75</v>
      </c>
      <c r="M224" s="479">
        <v>116</v>
      </c>
      <c r="N224" s="480">
        <f>IF(Tabela1154[[#This Row],[INSCRITOS - Escola de Inovadores - 2°Semestre 2024]]&lt;Tabela1154[[#This Row],[Linha de Base (7,5%) 2°Semestre]], 0,1)</f>
        <v>1</v>
      </c>
      <c r="O224" s="480">
        <f>IF(Tabela1154[[#This Row],[Taxa de Inscritos 2° Semestre 2024]]&gt;0,Tabela1154[[#This Row],[Taxa de Inscritos 2° Semestre 2024]]*0.6,0)</f>
        <v>0.6</v>
      </c>
      <c r="P224" s="479">
        <v>42</v>
      </c>
      <c r="Q224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1</v>
      </c>
      <c r="R224" s="480">
        <f>IF(Tabela1154[[#This Row],[Percentual CONCLUINTES - Escola de Inovadores 2024 2°Semestre]]&gt;0,Tabela1154[[#This Row],[Percentual CONCLUINTES - Escola de Inovadores 2024 2°Semestre]]*0.4,0)</f>
        <v>0.4</v>
      </c>
      <c r="S224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224" s="481">
        <f t="shared" si="3"/>
        <v>0.6</v>
      </c>
    </row>
    <row r="225" spans="1:20">
      <c r="A225" s="472">
        <v>293</v>
      </c>
      <c r="B225" s="492" t="s">
        <v>17</v>
      </c>
      <c r="C225" s="473">
        <v>383</v>
      </c>
      <c r="D225" s="474">
        <f>Tabela1154[[#This Row],[MATRICULADOS 1° Semestre 2024]]*0.075</f>
        <v>28.724999999999998</v>
      </c>
      <c r="E225" s="475">
        <v>32</v>
      </c>
      <c r="F225" s="476">
        <f>IF(Tabela1154[[#This Row],[INSCRITOS - Escola de Inovadores - 1° Semestre 2024]]&lt;Tabela1154[[#This Row],[Linha de Base (7,5%) 1°Semestre]],0,1)</f>
        <v>1</v>
      </c>
      <c r="G225" s="477">
        <f>IF(Tabela1154[[#This Row],[Percentual INSCRITOS - Escola de Inovadores - 2024]]&gt;0,Tabela1154[[#This Row],[Percentual INSCRITOS - Escola de Inovadores - 2024]]*0.6,0)</f>
        <v>0.6</v>
      </c>
      <c r="H225" s="475">
        <v>3</v>
      </c>
      <c r="I225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0.10443864229765014</v>
      </c>
      <c r="J225" s="476">
        <f>IF(Tabela1154[[#This Row],[X = Percentual de inscritos na escola de inovadores para o cumprimento de meta ( Peso 0,60)]]=0, 0, Tabela1154[[#This Row],[Percentual CONCLUINTES - Escola de Inovadores 2024]]*0.4)</f>
        <v>4.177545691906006E-2</v>
      </c>
      <c r="K225" s="473">
        <v>568</v>
      </c>
      <c r="L225" s="478">
        <f>Tabela1154[[#This Row],[Matriculados 2°Semestre em Curso]]*0.075</f>
        <v>42.6</v>
      </c>
      <c r="M225" s="479">
        <v>31</v>
      </c>
      <c r="N225" s="480">
        <f>IF(Tabela1154[[#This Row],[INSCRITOS - Escola de Inovadores - 2°Semestre 2024]]&lt;Tabela1154[[#This Row],[Linha de Base (7,5%) 2°Semestre]], 0,1)</f>
        <v>0</v>
      </c>
      <c r="O225" s="480">
        <f>IF(Tabela1154[[#This Row],[Taxa de Inscritos 2° Semestre 2024]]&gt;0,Tabela1154[[#This Row],[Taxa de Inscritos 2° Semestre 2024]]*0.6,0)</f>
        <v>0</v>
      </c>
      <c r="P225" s="479">
        <v>1</v>
      </c>
      <c r="Q225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225" s="480">
        <f>IF(Tabela1154[[#This Row],[Percentual CONCLUINTES - Escola de Inovadores 2024 2°Semestre]]&gt;0,Tabela1154[[#This Row],[Percentual CONCLUINTES - Escola de Inovadores 2024 2°Semestre]]*0.4,0)</f>
        <v>0</v>
      </c>
      <c r="S225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0.32088772845953001</v>
      </c>
      <c r="T225" s="481">
        <f t="shared" si="3"/>
        <v>0</v>
      </c>
    </row>
    <row r="226" spans="1:20">
      <c r="A226" s="472">
        <v>295</v>
      </c>
      <c r="B226" s="492" t="s">
        <v>11</v>
      </c>
      <c r="C226" s="473">
        <v>564</v>
      </c>
      <c r="D226" s="474">
        <f>Tabela1154[[#This Row],[MATRICULADOS 1° Semestre 2024]]*0.075</f>
        <v>42.3</v>
      </c>
      <c r="E226" s="475">
        <v>16</v>
      </c>
      <c r="F226" s="476">
        <f>IF(Tabela1154[[#This Row],[INSCRITOS - Escola de Inovadores - 1° Semestre 2024]]&lt;Tabela1154[[#This Row],[Linha de Base (7,5%) 1°Semestre]],0,1)</f>
        <v>0</v>
      </c>
      <c r="G226" s="477">
        <f>IF(Tabela1154[[#This Row],[Percentual INSCRITOS - Escola de Inovadores - 2024]]&gt;0,Tabela1154[[#This Row],[Percentual INSCRITOS - Escola de Inovadores - 2024]]*0.6,0)</f>
        <v>0</v>
      </c>
      <c r="H226" s="475">
        <v>0</v>
      </c>
      <c r="I226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226" s="476">
        <f>IF(Tabela1154[[#This Row],[X = Percentual de inscritos na escola de inovadores para o cumprimento de meta ( Peso 0,60)]]=0, 0, Tabela1154[[#This Row],[Percentual CONCLUINTES - Escola de Inovadores 2024]]*0.4)</f>
        <v>0</v>
      </c>
      <c r="K226" s="473">
        <v>509</v>
      </c>
      <c r="L226" s="478">
        <f>Tabela1154[[#This Row],[Matriculados 2°Semestre em Curso]]*0.075</f>
        <v>38.174999999999997</v>
      </c>
      <c r="M226" s="479">
        <v>5</v>
      </c>
      <c r="N226" s="480">
        <f>IF(Tabela1154[[#This Row],[INSCRITOS - Escola de Inovadores - 2°Semestre 2024]]&lt;Tabela1154[[#This Row],[Linha de Base (7,5%) 2°Semestre]], 0,1)</f>
        <v>0</v>
      </c>
      <c r="O226" s="480">
        <f>IF(Tabela1154[[#This Row],[Taxa de Inscritos 2° Semestre 2024]]&gt;0,Tabela1154[[#This Row],[Taxa de Inscritos 2° Semestre 2024]]*0.6,0)</f>
        <v>0</v>
      </c>
      <c r="P226" s="479">
        <v>0</v>
      </c>
      <c r="Q226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226" s="480">
        <f>IF(Tabela1154[[#This Row],[Percentual CONCLUINTES - Escola de Inovadores 2024 2°Semestre]]&gt;0,Tabela1154[[#This Row],[Percentual CONCLUINTES - Escola de Inovadores 2024 2°Semestre]]*0.4,0)</f>
        <v>0</v>
      </c>
      <c r="S226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226" s="481">
        <f t="shared" si="3"/>
        <v>0</v>
      </c>
    </row>
    <row r="227" spans="1:20">
      <c r="A227" s="472">
        <v>300</v>
      </c>
      <c r="B227" s="492" t="s">
        <v>223</v>
      </c>
      <c r="C227" s="473">
        <v>581</v>
      </c>
      <c r="D227" s="474">
        <f>Tabela1154[[#This Row],[MATRICULADOS 1° Semestre 2024]]*0.075</f>
        <v>43.574999999999996</v>
      </c>
      <c r="E227" s="475">
        <v>158</v>
      </c>
      <c r="F227" s="476">
        <f>IF(Tabela1154[[#This Row],[INSCRITOS - Escola de Inovadores - 1° Semestre 2024]]&lt;Tabela1154[[#This Row],[Linha de Base (7,5%) 1°Semestre]],0,1)</f>
        <v>1</v>
      </c>
      <c r="G227" s="477">
        <f>IF(Tabela1154[[#This Row],[Percentual INSCRITOS - Escola de Inovadores - 2024]]&gt;0,Tabela1154[[#This Row],[Percentual INSCRITOS - Escola de Inovadores - 2024]]*0.6,0)</f>
        <v>0.6</v>
      </c>
      <c r="H227" s="475">
        <v>151</v>
      </c>
      <c r="I227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1</v>
      </c>
      <c r="J227" s="476">
        <f>IF(Tabela1154[[#This Row],[X = Percentual de inscritos na escola de inovadores para o cumprimento de meta ( Peso 0,60)]]=0, 0, Tabela1154[[#This Row],[Percentual CONCLUINTES - Escola de Inovadores 2024]]*0.4)</f>
        <v>0.4</v>
      </c>
      <c r="K227" s="473">
        <v>175</v>
      </c>
      <c r="L227" s="478">
        <f>Tabela1154[[#This Row],[Matriculados 2°Semestre em Curso]]*0.075</f>
        <v>13.125</v>
      </c>
      <c r="M227" s="479">
        <v>8</v>
      </c>
      <c r="N227" s="480">
        <f>IF(Tabela1154[[#This Row],[INSCRITOS - Escola de Inovadores - 2°Semestre 2024]]&lt;Tabela1154[[#This Row],[Linha de Base (7,5%) 2°Semestre]], 0,1)</f>
        <v>0</v>
      </c>
      <c r="O227" s="480">
        <f>IF(Tabela1154[[#This Row],[Taxa de Inscritos 2° Semestre 2024]]&gt;0,Tabela1154[[#This Row],[Taxa de Inscritos 2° Semestre 2024]]*0.6,0)</f>
        <v>0</v>
      </c>
      <c r="P227" s="479">
        <v>2</v>
      </c>
      <c r="Q227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227" s="480">
        <f>IF(Tabela1154[[#This Row],[Percentual CONCLUINTES - Escola de Inovadores 2024 2°Semestre]]&gt;0,Tabela1154[[#This Row],[Percentual CONCLUINTES - Escola de Inovadores 2024 2°Semestre]]*0.4,0)</f>
        <v>0</v>
      </c>
      <c r="S227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0.5</v>
      </c>
      <c r="T227" s="481">
        <f t="shared" si="3"/>
        <v>0.6</v>
      </c>
    </row>
    <row r="228" spans="1:20">
      <c r="A228" s="485">
        <v>302</v>
      </c>
      <c r="B228" s="493" t="s">
        <v>229</v>
      </c>
      <c r="C228" s="486">
        <v>144</v>
      </c>
      <c r="D228" s="474">
        <f>Tabela1154[[#This Row],[MATRICULADOS 1° Semestre 2024]]*0.075</f>
        <v>10.799999999999999</v>
      </c>
      <c r="E228" s="487">
        <v>77</v>
      </c>
      <c r="F228" s="488">
        <f>IF(Tabela1154[[#This Row],[INSCRITOS - Escola de Inovadores - 1° Semestre 2024]]&lt;Tabela1154[[#This Row],[Linha de Base (7,5%) 1°Semestre]],0,1)</f>
        <v>1</v>
      </c>
      <c r="G228" s="477">
        <f>IF(Tabela1154[[#This Row],[Percentual INSCRITOS - Escola de Inovadores - 2024]]&gt;0,Tabela1154[[#This Row],[Percentual INSCRITOS - Escola de Inovadores - 2024]]*0.6,0)</f>
        <v>0.6</v>
      </c>
      <c r="H228" s="487">
        <v>6</v>
      </c>
      <c r="I228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0.55555555555555558</v>
      </c>
      <c r="J228" s="476">
        <f>IF(Tabela1154[[#This Row],[X = Percentual de inscritos na escola de inovadores para o cumprimento de meta ( Peso 0,60)]]=0, 0, Tabela1154[[#This Row],[Percentual CONCLUINTES - Escola de Inovadores 2024]]*0.4)</f>
        <v>0.22222222222222224</v>
      </c>
      <c r="K228" s="486">
        <v>151</v>
      </c>
      <c r="L228" s="478">
        <f>Tabela1154[[#This Row],[Matriculados 2°Semestre em Curso]]*0.075</f>
        <v>11.324999999999999</v>
      </c>
      <c r="M228" s="479">
        <v>51</v>
      </c>
      <c r="N228" s="480">
        <f>IF(Tabela1154[[#This Row],[INSCRITOS - Escola de Inovadores - 2°Semestre 2024]]&lt;Tabela1154[[#This Row],[Linha de Base (7,5%) 2°Semestre]], 0,1)</f>
        <v>1</v>
      </c>
      <c r="O228" s="480">
        <f>IF(Tabela1154[[#This Row],[Taxa de Inscritos 2° Semestre 2024]]&gt;0,Tabela1154[[#This Row],[Taxa de Inscritos 2° Semestre 2024]]*0.6,0)</f>
        <v>0.6</v>
      </c>
      <c r="P228" s="479">
        <v>30</v>
      </c>
      <c r="Q228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1</v>
      </c>
      <c r="R228" s="480">
        <f>IF(Tabela1154[[#This Row],[Percentual CONCLUINTES - Escola de Inovadores 2024 2°Semestre]]&gt;0,Tabela1154[[#This Row],[Percentual CONCLUINTES - Escola de Inovadores 2024 2°Semestre]]*0.4,0)</f>
        <v>0.4</v>
      </c>
      <c r="S228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0.91111111111111098</v>
      </c>
      <c r="T228" s="481">
        <f t="shared" si="3"/>
        <v>1</v>
      </c>
    </row>
    <row r="229" spans="1:20">
      <c r="A229" s="485">
        <v>303</v>
      </c>
      <c r="B229" s="493" t="s">
        <v>231</v>
      </c>
      <c r="C229" s="486">
        <v>156</v>
      </c>
      <c r="D229" s="474">
        <f>Tabela1154[[#This Row],[MATRICULADOS 1° Semestre 2024]]*0.075</f>
        <v>11.7</v>
      </c>
      <c r="E229" s="487">
        <v>36</v>
      </c>
      <c r="F229" s="488">
        <f>IF(Tabela1154[[#This Row],[INSCRITOS - Escola de Inovadores - 1° Semestre 2024]]&lt;Tabela1154[[#This Row],[Linha de Base (7,5%) 1°Semestre]],0,1)</f>
        <v>1</v>
      </c>
      <c r="G229" s="477">
        <f>IF(Tabela1154[[#This Row],[Percentual INSCRITOS - Escola de Inovadores - 2024]]&gt;0,Tabela1154[[#This Row],[Percentual INSCRITOS - Escola de Inovadores - 2024]]*0.6,0)</f>
        <v>0.6</v>
      </c>
      <c r="H229" s="487">
        <v>6</v>
      </c>
      <c r="I229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0.51282051282051289</v>
      </c>
      <c r="J229" s="476">
        <f>IF(Tabela1154[[#This Row],[X = Percentual de inscritos na escola de inovadores para o cumprimento de meta ( Peso 0,60)]]=0, 0, Tabela1154[[#This Row],[Percentual CONCLUINTES - Escola de Inovadores 2024]]*0.4)</f>
        <v>0.20512820512820518</v>
      </c>
      <c r="K229" s="486">
        <v>243</v>
      </c>
      <c r="L229" s="478">
        <f>Tabela1154[[#This Row],[Matriculados 2°Semestre em Curso]]*0.075</f>
        <v>18.224999999999998</v>
      </c>
      <c r="M229" s="479">
        <v>10</v>
      </c>
      <c r="N229" s="480">
        <f>IF(Tabela1154[[#This Row],[INSCRITOS - Escola de Inovadores - 2°Semestre 2024]]&lt;Tabela1154[[#This Row],[Linha de Base (7,5%) 2°Semestre]], 0,1)</f>
        <v>0</v>
      </c>
      <c r="O229" s="480">
        <f>IF(Tabela1154[[#This Row],[Taxa de Inscritos 2° Semestre 2024]]&gt;0,Tabela1154[[#This Row],[Taxa de Inscritos 2° Semestre 2024]]*0.6,0)</f>
        <v>0</v>
      </c>
      <c r="P229" s="479">
        <v>0</v>
      </c>
      <c r="Q229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229" s="480">
        <f>IF(Tabela1154[[#This Row],[Percentual CONCLUINTES - Escola de Inovadores 2024 2°Semestre]]&gt;0,Tabela1154[[#This Row],[Percentual CONCLUINTES - Escola de Inovadores 2024 2°Semestre]]*0.4,0)</f>
        <v>0</v>
      </c>
      <c r="S229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0.40256410256410258</v>
      </c>
      <c r="T229" s="481">
        <f t="shared" si="3"/>
        <v>0.5</v>
      </c>
    </row>
    <row r="230" spans="1:20">
      <c r="A230" s="485">
        <v>304</v>
      </c>
      <c r="B230" s="493" t="s">
        <v>232</v>
      </c>
      <c r="C230" s="486">
        <v>175</v>
      </c>
      <c r="D230" s="474">
        <f>Tabela1154[[#This Row],[MATRICULADOS 1° Semestre 2024]]*0.075</f>
        <v>13.125</v>
      </c>
      <c r="E230" s="487">
        <v>0</v>
      </c>
      <c r="F230" s="488">
        <f>IF(Tabela1154[[#This Row],[INSCRITOS - Escola de Inovadores - 1° Semestre 2024]]&lt;Tabela1154[[#This Row],[Linha de Base (7,5%) 1°Semestre]],0,1)</f>
        <v>0</v>
      </c>
      <c r="G230" s="477">
        <f>IF(Tabela1154[[#This Row],[Percentual INSCRITOS - Escola de Inovadores - 2024]]&gt;0,Tabela1154[[#This Row],[Percentual INSCRITOS - Escola de Inovadores - 2024]]*0.6,0)</f>
        <v>0</v>
      </c>
      <c r="H230" s="487">
        <v>0</v>
      </c>
      <c r="I230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</v>
      </c>
      <c r="J230" s="476">
        <f>IF(Tabela1154[[#This Row],[X = Percentual de inscritos na escola de inovadores para o cumprimento de meta ( Peso 0,60)]]=0, 0, Tabela1154[[#This Row],[Percentual CONCLUINTES - Escola de Inovadores 2024]]*0.4)</f>
        <v>0</v>
      </c>
      <c r="K230" s="486">
        <v>78</v>
      </c>
      <c r="L230" s="478">
        <f>Tabela1154[[#This Row],[Matriculados 2°Semestre em Curso]]*0.075</f>
        <v>5.85</v>
      </c>
      <c r="M230" s="479">
        <v>1</v>
      </c>
      <c r="N230" s="480">
        <f>IF(Tabela1154[[#This Row],[INSCRITOS - Escola de Inovadores - 2°Semestre 2024]]&lt;Tabela1154[[#This Row],[Linha de Base (7,5%) 2°Semestre]], 0,1)</f>
        <v>0</v>
      </c>
      <c r="O230" s="480">
        <f>IF(Tabela1154[[#This Row],[Taxa de Inscritos 2° Semestre 2024]]&gt;0,Tabela1154[[#This Row],[Taxa de Inscritos 2° Semestre 2024]]*0.6,0)</f>
        <v>0</v>
      </c>
      <c r="P230" s="479">
        <v>1</v>
      </c>
      <c r="Q230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</v>
      </c>
      <c r="R230" s="480">
        <f>IF(Tabela1154[[#This Row],[Percentual CONCLUINTES - Escola de Inovadores 2024 2°Semestre]]&gt;0,Tabela1154[[#This Row],[Percentual CONCLUINTES - Escola de Inovadores 2024 2°Semestre]]*0.4,0)</f>
        <v>0</v>
      </c>
      <c r="S230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</v>
      </c>
      <c r="T230" s="481">
        <f t="shared" si="3"/>
        <v>0</v>
      </c>
    </row>
    <row r="231" spans="1:20">
      <c r="A231" s="485">
        <v>306</v>
      </c>
      <c r="B231" s="493" t="s">
        <v>233</v>
      </c>
      <c r="C231" s="486">
        <v>79</v>
      </c>
      <c r="D231" s="474">
        <f>Tabela1154[[#This Row],[MATRICULADOS 1° Semestre 2024]]*0.075</f>
        <v>5.9249999999999998</v>
      </c>
      <c r="E231" s="487">
        <v>32</v>
      </c>
      <c r="F231" s="488">
        <f>IF(Tabela1154[[#This Row],[INSCRITOS - Escola de Inovadores - 1° Semestre 2024]]&lt;Tabela1154[[#This Row],[Linha de Base (7,5%) 1°Semestre]],0,1)</f>
        <v>1</v>
      </c>
      <c r="G231" s="477">
        <f>IF(Tabela1154[[#This Row],[Percentual INSCRITOS - Escola de Inovadores - 2024]]&gt;0,Tabela1154[[#This Row],[Percentual INSCRITOS - Escola de Inovadores - 2024]]*0.6,0)</f>
        <v>0.6</v>
      </c>
      <c r="H231" s="487">
        <v>5</v>
      </c>
      <c r="I231" s="476">
        <f>IF(Tabela1154[[#This Row],[X = Percentual de inscritos na escola de inovadores para o cumprimento de meta ( Peso 0,60)]]=0,
   0,
   MIN(IFERROR(Tabela1154[[#This Row],[CONCLUINTES ESCOLA DE INOVADORES - 1° Semestre 2024]] / Tabela1154[[#This Row],[Linha de Base (7,5%) 1°Semestre]], 0), 1)
)</f>
        <v>0.84388185654008441</v>
      </c>
      <c r="J231" s="476">
        <f>IF(Tabela1154[[#This Row],[X = Percentual de inscritos na escola de inovadores para o cumprimento de meta ( Peso 0,60)]]=0, 0, Tabela1154[[#This Row],[Percentual CONCLUINTES - Escola de Inovadores 2024]]*0.4)</f>
        <v>0.3375527426160338</v>
      </c>
      <c r="K231" s="489">
        <v>109</v>
      </c>
      <c r="L231" s="478">
        <f>Tabela1154[[#This Row],[Matriculados 2°Semestre em Curso]]*0.075</f>
        <v>8.1749999999999989</v>
      </c>
      <c r="M231" s="479">
        <v>39</v>
      </c>
      <c r="N231" s="480">
        <f>IF(Tabela1154[[#This Row],[INSCRITOS - Escola de Inovadores - 2°Semestre 2024]]&lt;Tabela1154[[#This Row],[Linha de Base (7,5%) 2°Semestre]], 0,1)</f>
        <v>1</v>
      </c>
      <c r="O231" s="480">
        <f>IF(Tabela1154[[#This Row],[Taxa de Inscritos 2° Semestre 2024]]&gt;0,Tabela1154[[#This Row],[Taxa de Inscritos 2° Semestre 2024]]*0.6,0)</f>
        <v>0.6</v>
      </c>
      <c r="P231" s="479">
        <v>1</v>
      </c>
      <c r="Q231" s="480">
        <f>IF(Tabela1154[[#This Row],[X = Percentual de inscritos na escola de inovadores para o cumprimento de meta ( Peso 0,60) 2°Semestre]]=0,
   0,
   MIN(IFERROR(Tabela1154[[#This Row],[CONCLUINTES ESCOLA DE INOVADORES - 2° Semestre 2024]] / Tabela1154[[#This Row],[Linha de Base (7,5%) 2°Semestre]], 0), 1)
)</f>
        <v>0.12232415902140674</v>
      </c>
      <c r="R231" s="480">
        <f>IF(Tabela1154[[#This Row],[Percentual CONCLUINTES - Escola de Inovadores 2024 2°Semestre]]&gt;0,Tabela1154[[#This Row],[Percentual CONCLUINTES - Escola de Inovadores 2024 2°Semestre]]*0.4,0)</f>
        <v>4.8929663608562698E-2</v>
      </c>
      <c r="S231" s="480">
        <f>(Tabela1154[[#This Row],[X = Percentual de inscritos na escola de inovadores para o cumprimento de meta ( Peso 0,60)]]
+ Tabela1154[[#This Row],[Y = percentual de concluinte na escola de inovadores para cumprimento de meta ( Peso 0,40)]]
+ Tabela1154[[#This Row],[X = Percentual de inscritos na escola de inovadores para o cumprimento de meta ( Peso 0,60) 2°Semestre]]
+ Tabela1154[[#This Row],[Y = percentual de concluinte na escola de inovadores para cumprimento de meta ( Peso 0,40) 2°Semestre]]) / 2</f>
        <v>0.79324120311229829</v>
      </c>
      <c r="T231" s="481">
        <f t="shared" si="3"/>
        <v>0.8</v>
      </c>
    </row>
  </sheetData>
  <mergeCells count="5">
    <mergeCell ref="A1:T1"/>
    <mergeCell ref="C2:D2"/>
    <mergeCell ref="E2:J2"/>
    <mergeCell ref="K2:L2"/>
    <mergeCell ref="M2:R2"/>
  </mergeCells>
  <pageMargins left="0.511811024" right="0.511811024" top="0.78740157499999996" bottom="0.78740157499999996" header="0.31496062000000002" footer="0.31496062000000002"/>
  <legacy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51DE0-7C3C-4F9D-B52F-F5A6701B959B}">
  <sheetPr>
    <tabColor theme="5" tint="-0.249977111117893"/>
  </sheetPr>
  <dimension ref="A1:H230"/>
  <sheetViews>
    <sheetView showGridLines="0" workbookViewId="0">
      <selection sqref="A1:H1"/>
    </sheetView>
  </sheetViews>
  <sheetFormatPr defaultRowHeight="15"/>
  <cols>
    <col min="2" max="2" width="42.42578125" bestFit="1" customWidth="1"/>
    <col min="3" max="3" width="21.42578125" customWidth="1"/>
    <col min="4" max="4" width="26.140625" customWidth="1"/>
    <col min="5" max="5" width="19.5703125" customWidth="1"/>
    <col min="6" max="6" width="15.7109375" customWidth="1"/>
    <col min="7" max="7" width="20.5703125" customWidth="1"/>
    <col min="8" max="8" width="17.42578125" customWidth="1"/>
  </cols>
  <sheetData>
    <row r="1" spans="1:8" ht="23.25">
      <c r="A1" s="499" t="s">
        <v>571</v>
      </c>
      <c r="B1" s="500"/>
      <c r="C1" s="500"/>
      <c r="D1" s="500"/>
      <c r="E1" s="500"/>
      <c r="F1" s="500"/>
      <c r="G1" s="500"/>
      <c r="H1" s="500"/>
    </row>
    <row r="2" spans="1:8" s="234" customFormat="1" ht="62.25" customHeight="1">
      <c r="A2" s="494" t="s">
        <v>0</v>
      </c>
      <c r="B2" s="495" t="s">
        <v>1</v>
      </c>
      <c r="C2" s="496" t="s">
        <v>677</v>
      </c>
      <c r="D2" s="496" t="s">
        <v>678</v>
      </c>
      <c r="E2" s="496" t="s">
        <v>679</v>
      </c>
      <c r="F2" s="496" t="s">
        <v>234</v>
      </c>
      <c r="G2" s="497" t="s">
        <v>640</v>
      </c>
      <c r="H2" s="498" t="s">
        <v>568</v>
      </c>
    </row>
    <row r="3" spans="1:8">
      <c r="A3" s="21">
        <v>6</v>
      </c>
      <c r="B3" s="9" t="s">
        <v>235</v>
      </c>
      <c r="C3" s="10">
        <v>107</v>
      </c>
      <c r="D3" s="10">
        <v>554</v>
      </c>
      <c r="E3" s="8">
        <v>661</v>
      </c>
      <c r="F3" s="11">
        <v>652</v>
      </c>
      <c r="G3" s="12">
        <f>Tabela6[[#This Row],[Diplomados SED]]/Tabela6[[#This Row],[Total Concluintes 2024]]*100</f>
        <v>98.638426626323749</v>
      </c>
      <c r="H3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4" spans="1:8">
      <c r="A4" s="20">
        <v>7</v>
      </c>
      <c r="B4" s="2" t="s">
        <v>236</v>
      </c>
      <c r="C4" s="3">
        <v>100</v>
      </c>
      <c r="D4" s="3">
        <v>309</v>
      </c>
      <c r="E4" s="8">
        <v>409</v>
      </c>
      <c r="F4" s="4">
        <v>366</v>
      </c>
      <c r="G4" s="12">
        <f>Tabela6[[#This Row],[Diplomados SED]]/Tabela6[[#This Row],[Total Concluintes 2024]]*100</f>
        <v>89.486552567237169</v>
      </c>
      <c r="H4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5" spans="1:8">
      <c r="A5" s="20">
        <v>8</v>
      </c>
      <c r="B5" s="2" t="s">
        <v>237</v>
      </c>
      <c r="C5" s="3">
        <v>209</v>
      </c>
      <c r="D5" s="3">
        <v>549</v>
      </c>
      <c r="E5" s="8">
        <v>758</v>
      </c>
      <c r="F5" s="4">
        <v>692</v>
      </c>
      <c r="G5" s="12">
        <f>Tabela6[[#This Row],[Diplomados SED]]/Tabela6[[#This Row],[Total Concluintes 2024]]*100</f>
        <v>91.292875989445903</v>
      </c>
      <c r="H5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6" spans="1:8">
      <c r="A6" s="20">
        <v>9</v>
      </c>
      <c r="B6" s="2" t="s">
        <v>238</v>
      </c>
      <c r="C6" s="3">
        <v>26</v>
      </c>
      <c r="D6" s="6">
        <v>268</v>
      </c>
      <c r="E6" s="8">
        <v>294</v>
      </c>
      <c r="F6" s="7">
        <v>290</v>
      </c>
      <c r="G6" s="12">
        <f>Tabela6[[#This Row],[Diplomados SED]]/Tabela6[[#This Row],[Total Concluintes 2024]]*100</f>
        <v>98.639455782312922</v>
      </c>
      <c r="H6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7" spans="1:8">
      <c r="A7" s="20">
        <v>10</v>
      </c>
      <c r="B7" s="2" t="s">
        <v>239</v>
      </c>
      <c r="C7" s="3">
        <v>487</v>
      </c>
      <c r="D7" s="3">
        <v>1049</v>
      </c>
      <c r="E7" s="8">
        <v>1536</v>
      </c>
      <c r="F7" s="4">
        <v>1306</v>
      </c>
      <c r="G7" s="12">
        <f>Tabela6[[#This Row],[Diplomados SED]]/Tabela6[[#This Row],[Total Concluintes 2024]]*100</f>
        <v>85.026041666666657</v>
      </c>
      <c r="H7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8" spans="1:8">
      <c r="A8" s="20">
        <v>11</v>
      </c>
      <c r="B8" s="2" t="s">
        <v>240</v>
      </c>
      <c r="C8" s="3">
        <v>209</v>
      </c>
      <c r="D8" s="3">
        <v>490</v>
      </c>
      <c r="E8" s="8">
        <v>699</v>
      </c>
      <c r="F8" s="4">
        <v>647</v>
      </c>
      <c r="G8" s="12">
        <f>Tabela6[[#This Row],[Diplomados SED]]/Tabela6[[#This Row],[Total Concluintes 2024]]*100</f>
        <v>92.560801144492132</v>
      </c>
      <c r="H8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9" spans="1:8">
      <c r="A9" s="20">
        <v>12</v>
      </c>
      <c r="B9" s="2" t="s">
        <v>241</v>
      </c>
      <c r="C9" s="3">
        <v>116</v>
      </c>
      <c r="D9" s="3">
        <v>587</v>
      </c>
      <c r="E9" s="8">
        <v>703</v>
      </c>
      <c r="F9" s="4">
        <v>610</v>
      </c>
      <c r="G9" s="12">
        <f>Tabela6[[#This Row],[Diplomados SED]]/Tabela6[[#This Row],[Total Concluintes 2024]]*100</f>
        <v>86.770981507823606</v>
      </c>
      <c r="H9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0" spans="1:8">
      <c r="A10" s="20">
        <v>13</v>
      </c>
      <c r="B10" s="2" t="s">
        <v>242</v>
      </c>
      <c r="C10" s="3">
        <v>366</v>
      </c>
      <c r="D10" s="3">
        <v>738</v>
      </c>
      <c r="E10" s="8">
        <v>1104</v>
      </c>
      <c r="F10" s="4">
        <v>924</v>
      </c>
      <c r="G10" s="12">
        <f>Tabela6[[#This Row],[Diplomados SED]]/Tabela6[[#This Row],[Total Concluintes 2024]]*100</f>
        <v>83.695652173913047</v>
      </c>
      <c r="H10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1" spans="1:8">
      <c r="A11" s="20">
        <v>14</v>
      </c>
      <c r="B11" s="2" t="s">
        <v>243</v>
      </c>
      <c r="C11" s="3">
        <v>432</v>
      </c>
      <c r="D11" s="3">
        <v>646</v>
      </c>
      <c r="E11" s="8">
        <v>1078</v>
      </c>
      <c r="F11" s="4">
        <v>969</v>
      </c>
      <c r="G11" s="12">
        <f>Tabela6[[#This Row],[Diplomados SED]]/Tabela6[[#This Row],[Total Concluintes 2024]]*100</f>
        <v>89.888682745825605</v>
      </c>
      <c r="H11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2" spans="1:8">
      <c r="A12" s="20">
        <v>15</v>
      </c>
      <c r="B12" s="2" t="s">
        <v>244</v>
      </c>
      <c r="C12" s="3">
        <v>256</v>
      </c>
      <c r="D12" s="3">
        <v>519</v>
      </c>
      <c r="E12" s="8">
        <v>775</v>
      </c>
      <c r="F12" s="4">
        <v>655</v>
      </c>
      <c r="G12" s="12">
        <f>Tabela6[[#This Row],[Diplomados SED]]/Tabela6[[#This Row],[Total Concluintes 2024]]*100</f>
        <v>84.516129032258064</v>
      </c>
      <c r="H12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3" spans="1:8">
      <c r="A13" s="20">
        <v>16</v>
      </c>
      <c r="B13" s="2" t="s">
        <v>245</v>
      </c>
      <c r="C13" s="3">
        <v>304</v>
      </c>
      <c r="D13" s="3">
        <v>553</v>
      </c>
      <c r="E13" s="8">
        <v>857</v>
      </c>
      <c r="F13" s="4">
        <v>825</v>
      </c>
      <c r="G13" s="12">
        <f>Tabela6[[#This Row],[Diplomados SED]]/Tabela6[[#This Row],[Total Concluintes 2024]]*100</f>
        <v>96.266044340723454</v>
      </c>
      <c r="H13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4" spans="1:8">
      <c r="A14" s="20">
        <v>17</v>
      </c>
      <c r="B14" s="2" t="s">
        <v>246</v>
      </c>
      <c r="C14" s="3">
        <v>208</v>
      </c>
      <c r="D14" s="3">
        <v>448</v>
      </c>
      <c r="E14" s="8">
        <v>656</v>
      </c>
      <c r="F14" s="4">
        <v>613</v>
      </c>
      <c r="G14" s="12">
        <f>Tabela6[[#This Row],[Diplomados SED]]/Tabela6[[#This Row],[Total Concluintes 2024]]*100</f>
        <v>93.445121951219505</v>
      </c>
      <c r="H14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5" spans="1:8">
      <c r="A15" s="20">
        <v>18</v>
      </c>
      <c r="B15" s="2" t="s">
        <v>247</v>
      </c>
      <c r="C15" s="3">
        <v>117</v>
      </c>
      <c r="D15" s="3">
        <v>256</v>
      </c>
      <c r="E15" s="8">
        <v>373</v>
      </c>
      <c r="F15" s="4">
        <v>319</v>
      </c>
      <c r="G15" s="12">
        <f>Tabela6[[#This Row],[Diplomados SED]]/Tabela6[[#This Row],[Total Concluintes 2024]]*100</f>
        <v>85.52278820375335</v>
      </c>
      <c r="H15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6" spans="1:8">
      <c r="A16" s="20">
        <v>19</v>
      </c>
      <c r="B16" s="2" t="s">
        <v>248</v>
      </c>
      <c r="C16" s="3">
        <v>177</v>
      </c>
      <c r="D16" s="3">
        <v>347</v>
      </c>
      <c r="E16" s="8">
        <v>524</v>
      </c>
      <c r="F16" s="4">
        <v>460</v>
      </c>
      <c r="G16" s="12">
        <f>Tabela6[[#This Row],[Diplomados SED]]/Tabela6[[#This Row],[Total Concluintes 2024]]*100</f>
        <v>87.786259541984734</v>
      </c>
      <c r="H16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7" spans="1:8">
      <c r="A17" s="20">
        <v>23</v>
      </c>
      <c r="B17" s="2" t="s">
        <v>249</v>
      </c>
      <c r="C17" s="3">
        <v>170</v>
      </c>
      <c r="D17" s="3">
        <v>502</v>
      </c>
      <c r="E17" s="8">
        <v>672</v>
      </c>
      <c r="F17" s="4">
        <v>567</v>
      </c>
      <c r="G17" s="12">
        <f>Tabela6[[#This Row],[Diplomados SED]]/Tabela6[[#This Row],[Total Concluintes 2024]]*100</f>
        <v>84.375</v>
      </c>
      <c r="H17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8" spans="1:8">
      <c r="A18" s="20">
        <v>24</v>
      </c>
      <c r="B18" s="2" t="s">
        <v>250</v>
      </c>
      <c r="C18" s="3">
        <v>237</v>
      </c>
      <c r="D18" s="3">
        <v>342</v>
      </c>
      <c r="E18" s="8">
        <v>579</v>
      </c>
      <c r="F18" s="4">
        <v>496</v>
      </c>
      <c r="G18" s="12">
        <f>Tabela6[[#This Row],[Diplomados SED]]/Tabela6[[#This Row],[Total Concluintes 2024]]*100</f>
        <v>85.66493955094991</v>
      </c>
      <c r="H18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9" spans="1:8">
      <c r="A19" s="20">
        <v>25</v>
      </c>
      <c r="B19" s="2" t="s">
        <v>251</v>
      </c>
      <c r="C19" s="3">
        <v>79</v>
      </c>
      <c r="D19" s="3">
        <v>374</v>
      </c>
      <c r="E19" s="8">
        <v>453</v>
      </c>
      <c r="F19" s="4">
        <v>445</v>
      </c>
      <c r="G19" s="12">
        <f>Tabela6[[#This Row],[Diplomados SED]]/Tabela6[[#This Row],[Total Concluintes 2024]]*100</f>
        <v>98.233995584988961</v>
      </c>
      <c r="H19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20" spans="1:8">
      <c r="A20" s="20">
        <v>26</v>
      </c>
      <c r="B20" s="2" t="s">
        <v>252</v>
      </c>
      <c r="C20" s="3">
        <v>178</v>
      </c>
      <c r="D20" s="3">
        <v>360</v>
      </c>
      <c r="E20" s="8">
        <v>538</v>
      </c>
      <c r="F20" s="4">
        <v>425</v>
      </c>
      <c r="G20" s="12">
        <f>Tabela6[[#This Row],[Diplomados SED]]/Tabela6[[#This Row],[Total Concluintes 2024]]*100</f>
        <v>78.99628252788105</v>
      </c>
      <c r="H20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0.8</v>
      </c>
    </row>
    <row r="21" spans="1:8">
      <c r="A21" s="20">
        <v>27</v>
      </c>
      <c r="B21" s="2" t="s">
        <v>253</v>
      </c>
      <c r="C21" s="3">
        <v>135</v>
      </c>
      <c r="D21" s="3">
        <v>368</v>
      </c>
      <c r="E21" s="8">
        <v>503</v>
      </c>
      <c r="F21" s="4">
        <v>489</v>
      </c>
      <c r="G21" s="12">
        <f>Tabela6[[#This Row],[Diplomados SED]]/Tabela6[[#This Row],[Total Concluintes 2024]]*100</f>
        <v>97.216699801192846</v>
      </c>
      <c r="H21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22" spans="1:8">
      <c r="A22" s="20">
        <v>28</v>
      </c>
      <c r="B22" s="2" t="s">
        <v>254</v>
      </c>
      <c r="C22" s="3">
        <v>84</v>
      </c>
      <c r="D22" s="3">
        <v>137</v>
      </c>
      <c r="E22" s="8">
        <v>221</v>
      </c>
      <c r="F22" s="4">
        <v>191</v>
      </c>
      <c r="G22" s="12">
        <f>Tabela6[[#This Row],[Diplomados SED]]/Tabela6[[#This Row],[Total Concluintes 2024]]*100</f>
        <v>86.425339366515843</v>
      </c>
      <c r="H22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23" spans="1:8">
      <c r="A23" s="20">
        <v>29</v>
      </c>
      <c r="B23" s="2" t="s">
        <v>255</v>
      </c>
      <c r="C23" s="3">
        <v>272</v>
      </c>
      <c r="D23" s="3">
        <v>406</v>
      </c>
      <c r="E23" s="8">
        <v>678</v>
      </c>
      <c r="F23" s="4">
        <v>621</v>
      </c>
      <c r="G23" s="12">
        <f>Tabela6[[#This Row],[Diplomados SED]]/Tabela6[[#This Row],[Total Concluintes 2024]]*100</f>
        <v>91.592920353982294</v>
      </c>
      <c r="H23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24" spans="1:8">
      <c r="A24" s="20">
        <v>30</v>
      </c>
      <c r="B24" s="2" t="s">
        <v>256</v>
      </c>
      <c r="C24" s="3">
        <v>163</v>
      </c>
      <c r="D24" s="3">
        <v>302</v>
      </c>
      <c r="E24" s="8">
        <v>465</v>
      </c>
      <c r="F24" s="4">
        <v>465</v>
      </c>
      <c r="G24" s="12">
        <f>Tabela6[[#This Row],[Diplomados SED]]/Tabela6[[#This Row],[Total Concluintes 2024]]*100</f>
        <v>100</v>
      </c>
      <c r="H24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25" spans="1:8">
      <c r="A25" s="20">
        <v>31</v>
      </c>
      <c r="B25" s="2" t="s">
        <v>257</v>
      </c>
      <c r="C25" s="3">
        <v>155</v>
      </c>
      <c r="D25" s="3">
        <v>236</v>
      </c>
      <c r="E25" s="8">
        <v>391</v>
      </c>
      <c r="F25" s="4">
        <v>349</v>
      </c>
      <c r="G25" s="12">
        <f>Tabela6[[#This Row],[Diplomados SED]]/Tabela6[[#This Row],[Total Concluintes 2024]]*100</f>
        <v>89.258312020460366</v>
      </c>
      <c r="H25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26" spans="1:8">
      <c r="A26" s="20">
        <v>32</v>
      </c>
      <c r="B26" s="2" t="s">
        <v>258</v>
      </c>
      <c r="C26" s="3">
        <v>14</v>
      </c>
      <c r="D26" s="3">
        <v>180</v>
      </c>
      <c r="E26" s="8">
        <v>194</v>
      </c>
      <c r="F26" s="4">
        <v>166</v>
      </c>
      <c r="G26" s="12">
        <f>Tabela6[[#This Row],[Diplomados SED]]/Tabela6[[#This Row],[Total Concluintes 2024]]*100</f>
        <v>85.567010309278345</v>
      </c>
      <c r="H26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27" spans="1:8">
      <c r="A27" s="20">
        <v>33</v>
      </c>
      <c r="B27" s="2" t="s">
        <v>259</v>
      </c>
      <c r="C27" s="3">
        <v>18</v>
      </c>
      <c r="D27" s="3">
        <v>218</v>
      </c>
      <c r="E27" s="8">
        <v>236</v>
      </c>
      <c r="F27" s="4">
        <v>161</v>
      </c>
      <c r="G27" s="12">
        <f>Tabela6[[#This Row],[Diplomados SED]]/Tabela6[[#This Row],[Total Concluintes 2024]]*100</f>
        <v>68.220338983050837</v>
      </c>
      <c r="H27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0.7</v>
      </c>
    </row>
    <row r="28" spans="1:8">
      <c r="A28" s="20">
        <v>34</v>
      </c>
      <c r="B28" s="2" t="s">
        <v>260</v>
      </c>
      <c r="C28" s="3">
        <v>226</v>
      </c>
      <c r="D28" s="3">
        <v>431</v>
      </c>
      <c r="E28" s="8">
        <v>657</v>
      </c>
      <c r="F28" s="4">
        <v>447</v>
      </c>
      <c r="G28" s="12">
        <f>Tabela6[[#This Row],[Diplomados SED]]/Tabela6[[#This Row],[Total Concluintes 2024]]*100</f>
        <v>68.036529680365305</v>
      </c>
      <c r="H28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0.7</v>
      </c>
    </row>
    <row r="29" spans="1:8">
      <c r="A29" s="20">
        <v>35</v>
      </c>
      <c r="B29" s="2" t="s">
        <v>261</v>
      </c>
      <c r="C29" s="3">
        <v>200</v>
      </c>
      <c r="D29" s="3">
        <v>439</v>
      </c>
      <c r="E29" s="8">
        <v>639</v>
      </c>
      <c r="F29" s="4">
        <v>540</v>
      </c>
      <c r="G29" s="12">
        <f>Tabela6[[#This Row],[Diplomados SED]]/Tabela6[[#This Row],[Total Concluintes 2024]]*100</f>
        <v>84.507042253521121</v>
      </c>
      <c r="H29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30" spans="1:8">
      <c r="A30" s="20">
        <v>36</v>
      </c>
      <c r="B30" s="2" t="s">
        <v>262</v>
      </c>
      <c r="C30" s="3">
        <v>160</v>
      </c>
      <c r="D30" s="3">
        <v>409</v>
      </c>
      <c r="E30" s="8">
        <v>569</v>
      </c>
      <c r="F30" s="4">
        <v>542</v>
      </c>
      <c r="G30" s="12">
        <f>Tabela6[[#This Row],[Diplomados SED]]/Tabela6[[#This Row],[Total Concluintes 2024]]*100</f>
        <v>95.254833040421801</v>
      </c>
      <c r="H30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31" spans="1:8">
      <c r="A31" s="20">
        <v>37</v>
      </c>
      <c r="B31" s="2" t="s">
        <v>263</v>
      </c>
      <c r="C31" s="3">
        <v>47</v>
      </c>
      <c r="D31" s="3">
        <v>162</v>
      </c>
      <c r="E31" s="8">
        <v>209</v>
      </c>
      <c r="F31" s="4">
        <v>179</v>
      </c>
      <c r="G31" s="12">
        <f>Tabela6[[#This Row],[Diplomados SED]]/Tabela6[[#This Row],[Total Concluintes 2024]]*100</f>
        <v>85.645933014354071</v>
      </c>
      <c r="H31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32" spans="1:8">
      <c r="A32" s="20">
        <v>38</v>
      </c>
      <c r="B32" s="2" t="s">
        <v>264</v>
      </c>
      <c r="C32" s="3">
        <v>43</v>
      </c>
      <c r="D32" s="3">
        <v>176</v>
      </c>
      <c r="E32" s="8">
        <v>219</v>
      </c>
      <c r="F32" s="4">
        <v>143</v>
      </c>
      <c r="G32" s="12">
        <f>Tabela6[[#This Row],[Diplomados SED]]/Tabela6[[#This Row],[Total Concluintes 2024]]*100</f>
        <v>65.296803652968038</v>
      </c>
      <c r="H32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0.7</v>
      </c>
    </row>
    <row r="33" spans="1:8">
      <c r="A33" s="20">
        <v>39</v>
      </c>
      <c r="B33" s="2" t="s">
        <v>265</v>
      </c>
      <c r="C33" s="3">
        <v>88</v>
      </c>
      <c r="D33" s="3">
        <v>160</v>
      </c>
      <c r="E33" s="8">
        <v>248</v>
      </c>
      <c r="F33" s="4">
        <v>200</v>
      </c>
      <c r="G33" s="12">
        <f>Tabela6[[#This Row],[Diplomados SED]]/Tabela6[[#This Row],[Total Concluintes 2024]]*100</f>
        <v>80.645161290322577</v>
      </c>
      <c r="H33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34" spans="1:8">
      <c r="A34" s="22">
        <v>40</v>
      </c>
      <c r="B34" s="5" t="s">
        <v>266</v>
      </c>
      <c r="C34" s="3">
        <v>69</v>
      </c>
      <c r="D34" s="3">
        <v>163</v>
      </c>
      <c r="E34" s="8">
        <v>232</v>
      </c>
      <c r="F34" s="4">
        <v>188</v>
      </c>
      <c r="G34" s="12">
        <f>Tabela6[[#This Row],[Diplomados SED]]/Tabela6[[#This Row],[Total Concluintes 2024]]*100</f>
        <v>81.034482758620683</v>
      </c>
      <c r="H34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35" spans="1:8">
      <c r="A35" s="20">
        <v>41</v>
      </c>
      <c r="B35" s="2" t="s">
        <v>267</v>
      </c>
      <c r="C35" s="3">
        <v>209</v>
      </c>
      <c r="D35" s="3">
        <v>527</v>
      </c>
      <c r="E35" s="8">
        <v>736</v>
      </c>
      <c r="F35" s="4">
        <v>624</v>
      </c>
      <c r="G35" s="12">
        <f>Tabela6[[#This Row],[Diplomados SED]]/Tabela6[[#This Row],[Total Concluintes 2024]]*100</f>
        <v>84.782608695652172</v>
      </c>
      <c r="H35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36" spans="1:8">
      <c r="A36" s="20">
        <v>42</v>
      </c>
      <c r="B36" s="2" t="s">
        <v>268</v>
      </c>
      <c r="C36" s="3">
        <v>95</v>
      </c>
      <c r="D36" s="3">
        <v>405</v>
      </c>
      <c r="E36" s="8">
        <v>500</v>
      </c>
      <c r="F36" s="4">
        <v>456</v>
      </c>
      <c r="G36" s="12">
        <f>Tabela6[[#This Row],[Diplomados SED]]/Tabela6[[#This Row],[Total Concluintes 2024]]*100</f>
        <v>91.2</v>
      </c>
      <c r="H36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37" spans="1:8">
      <c r="A37" s="20">
        <v>43</v>
      </c>
      <c r="B37" s="2" t="s">
        <v>269</v>
      </c>
      <c r="C37" s="3">
        <v>183</v>
      </c>
      <c r="D37" s="3">
        <v>396</v>
      </c>
      <c r="E37" s="8">
        <v>579</v>
      </c>
      <c r="F37" s="4">
        <v>496</v>
      </c>
      <c r="G37" s="12">
        <f>Tabela6[[#This Row],[Diplomados SED]]/Tabela6[[#This Row],[Total Concluintes 2024]]*100</f>
        <v>85.66493955094991</v>
      </c>
      <c r="H37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38" spans="1:8">
      <c r="A38" s="20">
        <v>44</v>
      </c>
      <c r="B38" s="2" t="s">
        <v>270</v>
      </c>
      <c r="C38" s="3">
        <v>100</v>
      </c>
      <c r="D38" s="3">
        <v>166</v>
      </c>
      <c r="E38" s="8">
        <v>266</v>
      </c>
      <c r="F38" s="4">
        <v>252</v>
      </c>
      <c r="G38" s="12">
        <f>Tabela6[[#This Row],[Diplomados SED]]/Tabela6[[#This Row],[Total Concluintes 2024]]*100</f>
        <v>94.73684210526315</v>
      </c>
      <c r="H38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39" spans="1:8">
      <c r="A39" s="20">
        <v>45</v>
      </c>
      <c r="B39" s="2" t="s">
        <v>271</v>
      </c>
      <c r="C39" s="3">
        <v>292</v>
      </c>
      <c r="D39" s="3">
        <v>431</v>
      </c>
      <c r="E39" s="8">
        <v>723</v>
      </c>
      <c r="F39" s="4">
        <v>646</v>
      </c>
      <c r="G39" s="12">
        <f>Tabela6[[#This Row],[Diplomados SED]]/Tabela6[[#This Row],[Total Concluintes 2024]]*100</f>
        <v>89.349930843706787</v>
      </c>
      <c r="H39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40" spans="1:8">
      <c r="A40" s="20">
        <v>46</v>
      </c>
      <c r="B40" s="2" t="s">
        <v>272</v>
      </c>
      <c r="C40" s="3">
        <v>42</v>
      </c>
      <c r="D40" s="3">
        <v>116</v>
      </c>
      <c r="E40" s="8">
        <v>158</v>
      </c>
      <c r="F40" s="4">
        <v>145</v>
      </c>
      <c r="G40" s="12">
        <f>Tabela6[[#This Row],[Diplomados SED]]/Tabela6[[#This Row],[Total Concluintes 2024]]*100</f>
        <v>91.77215189873418</v>
      </c>
      <c r="H40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41" spans="1:8">
      <c r="A41" s="20">
        <v>47</v>
      </c>
      <c r="B41" s="2" t="s">
        <v>273</v>
      </c>
      <c r="C41" s="3">
        <v>85</v>
      </c>
      <c r="D41" s="3">
        <v>184</v>
      </c>
      <c r="E41" s="8">
        <v>269</v>
      </c>
      <c r="F41" s="4">
        <v>259</v>
      </c>
      <c r="G41" s="12">
        <f>Tabela6[[#This Row],[Diplomados SED]]/Tabela6[[#This Row],[Total Concluintes 2024]]*100</f>
        <v>96.282527881040892</v>
      </c>
      <c r="H41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42" spans="1:8">
      <c r="A42" s="20">
        <v>48</v>
      </c>
      <c r="B42" s="2" t="s">
        <v>274</v>
      </c>
      <c r="C42" s="3">
        <v>59</v>
      </c>
      <c r="D42" s="3">
        <v>193</v>
      </c>
      <c r="E42" s="8">
        <v>252</v>
      </c>
      <c r="F42" s="4">
        <v>235</v>
      </c>
      <c r="G42" s="12">
        <f>Tabela6[[#This Row],[Diplomados SED]]/Tabela6[[#This Row],[Total Concluintes 2024]]*100</f>
        <v>93.253968253968253</v>
      </c>
      <c r="H42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43" spans="1:8">
      <c r="A43" s="20">
        <v>49</v>
      </c>
      <c r="B43" s="2" t="s">
        <v>275</v>
      </c>
      <c r="C43" s="3">
        <v>0</v>
      </c>
      <c r="D43" s="3">
        <v>78</v>
      </c>
      <c r="E43" s="8">
        <v>78</v>
      </c>
      <c r="F43" s="4">
        <v>73</v>
      </c>
      <c r="G43" s="12">
        <f>Tabela6[[#This Row],[Diplomados SED]]/Tabela6[[#This Row],[Total Concluintes 2024]]*100</f>
        <v>93.589743589743591</v>
      </c>
      <c r="H43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44" spans="1:8">
      <c r="A44" s="20">
        <v>50</v>
      </c>
      <c r="B44" s="2" t="s">
        <v>276</v>
      </c>
      <c r="C44" s="3">
        <v>116</v>
      </c>
      <c r="D44" s="3">
        <v>400</v>
      </c>
      <c r="E44" s="8">
        <v>516</v>
      </c>
      <c r="F44" s="4">
        <v>497</v>
      </c>
      <c r="G44" s="12">
        <f>Tabela6[[#This Row],[Diplomados SED]]/Tabela6[[#This Row],[Total Concluintes 2024]]*100</f>
        <v>96.31782945736434</v>
      </c>
      <c r="H44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45" spans="1:8">
      <c r="A45" s="22">
        <v>51</v>
      </c>
      <c r="B45" s="5" t="s">
        <v>277</v>
      </c>
      <c r="C45" s="3">
        <v>70</v>
      </c>
      <c r="D45" s="3">
        <v>268</v>
      </c>
      <c r="E45" s="8">
        <v>338</v>
      </c>
      <c r="F45" s="4">
        <v>329</v>
      </c>
      <c r="G45" s="12">
        <f>Tabela6[[#This Row],[Diplomados SED]]/Tabela6[[#This Row],[Total Concluintes 2024]]*100</f>
        <v>97.337278106508876</v>
      </c>
      <c r="H45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46" spans="1:8">
      <c r="A46" s="20">
        <v>52</v>
      </c>
      <c r="B46" s="2" t="s">
        <v>278</v>
      </c>
      <c r="C46" s="3">
        <v>126</v>
      </c>
      <c r="D46" s="3">
        <v>202</v>
      </c>
      <c r="E46" s="8">
        <v>328</v>
      </c>
      <c r="F46" s="4">
        <v>327</v>
      </c>
      <c r="G46" s="12">
        <f>Tabela6[[#This Row],[Diplomados SED]]/Tabela6[[#This Row],[Total Concluintes 2024]]*100</f>
        <v>99.695121951219505</v>
      </c>
      <c r="H46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47" spans="1:8">
      <c r="A47" s="22">
        <v>53</v>
      </c>
      <c r="B47" s="5" t="s">
        <v>279</v>
      </c>
      <c r="C47" s="3">
        <v>17</v>
      </c>
      <c r="D47" s="3">
        <v>241</v>
      </c>
      <c r="E47" s="8">
        <v>258</v>
      </c>
      <c r="F47" s="4">
        <v>239</v>
      </c>
      <c r="G47" s="12">
        <f>Tabela6[[#This Row],[Diplomados SED]]/Tabela6[[#This Row],[Total Concluintes 2024]]*100</f>
        <v>92.63565891472868</v>
      </c>
      <c r="H47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48" spans="1:8">
      <c r="A48" s="20">
        <v>54</v>
      </c>
      <c r="B48" s="2" t="s">
        <v>280</v>
      </c>
      <c r="C48" s="3">
        <v>108</v>
      </c>
      <c r="D48" s="3">
        <v>284</v>
      </c>
      <c r="E48" s="8">
        <v>392</v>
      </c>
      <c r="F48" s="4">
        <v>367</v>
      </c>
      <c r="G48" s="12">
        <f>Tabela6[[#This Row],[Diplomados SED]]/Tabela6[[#This Row],[Total Concluintes 2024]]*100</f>
        <v>93.622448979591837</v>
      </c>
      <c r="H48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49" spans="1:8">
      <c r="A49" s="20">
        <v>55</v>
      </c>
      <c r="B49" s="2" t="s">
        <v>281</v>
      </c>
      <c r="C49" s="3">
        <v>49</v>
      </c>
      <c r="D49" s="3">
        <v>232</v>
      </c>
      <c r="E49" s="8">
        <v>281</v>
      </c>
      <c r="F49" s="4">
        <v>280</v>
      </c>
      <c r="G49" s="12">
        <f>Tabela6[[#This Row],[Diplomados SED]]/Tabela6[[#This Row],[Total Concluintes 2024]]*100</f>
        <v>99.644128113879006</v>
      </c>
      <c r="H49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50" spans="1:8">
      <c r="A50" s="20">
        <v>56</v>
      </c>
      <c r="B50" s="2" t="s">
        <v>282</v>
      </c>
      <c r="C50" s="3">
        <v>152</v>
      </c>
      <c r="D50" s="3">
        <v>430</v>
      </c>
      <c r="E50" s="8">
        <v>582</v>
      </c>
      <c r="F50" s="4">
        <v>563</v>
      </c>
      <c r="G50" s="12">
        <f>Tabela6[[#This Row],[Diplomados SED]]/Tabela6[[#This Row],[Total Concluintes 2024]]*100</f>
        <v>96.735395189003441</v>
      </c>
      <c r="H50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51" spans="1:8">
      <c r="A51" s="20">
        <v>57</v>
      </c>
      <c r="B51" s="2" t="s">
        <v>283</v>
      </c>
      <c r="C51" s="3">
        <v>79</v>
      </c>
      <c r="D51" s="3">
        <v>108</v>
      </c>
      <c r="E51" s="8">
        <v>187</v>
      </c>
      <c r="F51" s="4">
        <v>186</v>
      </c>
      <c r="G51" s="12">
        <f>Tabela6[[#This Row],[Diplomados SED]]/Tabela6[[#This Row],[Total Concluintes 2024]]*100</f>
        <v>99.465240641711233</v>
      </c>
      <c r="H51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52" spans="1:8">
      <c r="A52" s="20">
        <v>58</v>
      </c>
      <c r="B52" s="2" t="s">
        <v>284</v>
      </c>
      <c r="C52" s="3">
        <v>42</v>
      </c>
      <c r="D52" s="3">
        <v>118</v>
      </c>
      <c r="E52" s="8">
        <v>160</v>
      </c>
      <c r="F52" s="4">
        <v>155</v>
      </c>
      <c r="G52" s="12">
        <f>Tabela6[[#This Row],[Diplomados SED]]/Tabela6[[#This Row],[Total Concluintes 2024]]*100</f>
        <v>96.875</v>
      </c>
      <c r="H52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53" spans="1:8">
      <c r="A53" s="20">
        <v>59</v>
      </c>
      <c r="B53" s="2" t="s">
        <v>285</v>
      </c>
      <c r="C53" s="3">
        <v>74</v>
      </c>
      <c r="D53" s="3">
        <v>158</v>
      </c>
      <c r="E53" s="8">
        <v>232</v>
      </c>
      <c r="F53" s="4">
        <v>222</v>
      </c>
      <c r="G53" s="12">
        <f>Tabela6[[#This Row],[Diplomados SED]]/Tabela6[[#This Row],[Total Concluintes 2024]]*100</f>
        <v>95.689655172413794</v>
      </c>
      <c r="H53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54" spans="1:8">
      <c r="A54" s="20">
        <v>60</v>
      </c>
      <c r="B54" s="2" t="s">
        <v>286</v>
      </c>
      <c r="C54" s="3">
        <v>271</v>
      </c>
      <c r="D54" s="3">
        <v>407</v>
      </c>
      <c r="E54" s="8">
        <v>678</v>
      </c>
      <c r="F54" s="4">
        <v>581</v>
      </c>
      <c r="G54" s="12">
        <f>Tabela6[[#This Row],[Diplomados SED]]/Tabela6[[#This Row],[Total Concluintes 2024]]*100</f>
        <v>85.693215339233035</v>
      </c>
      <c r="H54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55" spans="1:8">
      <c r="A55" s="20">
        <v>61</v>
      </c>
      <c r="B55" s="2" t="s">
        <v>287</v>
      </c>
      <c r="C55" s="3">
        <v>110</v>
      </c>
      <c r="D55" s="3">
        <v>330</v>
      </c>
      <c r="E55" s="8">
        <v>440</v>
      </c>
      <c r="F55" s="4">
        <v>375</v>
      </c>
      <c r="G55" s="12">
        <f>Tabela6[[#This Row],[Diplomados SED]]/Tabela6[[#This Row],[Total Concluintes 2024]]*100</f>
        <v>85.227272727272734</v>
      </c>
      <c r="H55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56" spans="1:8">
      <c r="A56" s="20">
        <v>62</v>
      </c>
      <c r="B56" s="2" t="s">
        <v>288</v>
      </c>
      <c r="C56" s="3">
        <v>87</v>
      </c>
      <c r="D56" s="3">
        <v>170</v>
      </c>
      <c r="E56" s="8">
        <v>257</v>
      </c>
      <c r="F56" s="4">
        <v>210</v>
      </c>
      <c r="G56" s="12">
        <f>Tabela6[[#This Row],[Diplomados SED]]/Tabela6[[#This Row],[Total Concluintes 2024]]*100</f>
        <v>81.712062256809332</v>
      </c>
      <c r="H56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57" spans="1:8">
      <c r="A57" s="20">
        <v>63</v>
      </c>
      <c r="B57" s="2" t="s">
        <v>289</v>
      </c>
      <c r="C57" s="3">
        <v>50</v>
      </c>
      <c r="D57" s="3">
        <v>114</v>
      </c>
      <c r="E57" s="8">
        <v>164</v>
      </c>
      <c r="F57" s="4">
        <v>159</v>
      </c>
      <c r="G57" s="12">
        <f>Tabela6[[#This Row],[Diplomados SED]]/Tabela6[[#This Row],[Total Concluintes 2024]]*100</f>
        <v>96.951219512195124</v>
      </c>
      <c r="H57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58" spans="1:8">
      <c r="A58" s="20">
        <v>64</v>
      </c>
      <c r="B58" s="2" t="s">
        <v>290</v>
      </c>
      <c r="C58" s="3">
        <v>244</v>
      </c>
      <c r="D58" s="3">
        <v>489</v>
      </c>
      <c r="E58" s="8">
        <v>733</v>
      </c>
      <c r="F58" s="4">
        <v>524</v>
      </c>
      <c r="G58" s="12">
        <f>Tabela6[[#This Row],[Diplomados SED]]/Tabela6[[#This Row],[Total Concluintes 2024]]*100</f>
        <v>71.487039563437932</v>
      </c>
      <c r="H58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0.8</v>
      </c>
    </row>
    <row r="59" spans="1:8">
      <c r="A59" s="20">
        <v>65</v>
      </c>
      <c r="B59" s="2" t="s">
        <v>291</v>
      </c>
      <c r="C59" s="3">
        <v>118</v>
      </c>
      <c r="D59" s="3">
        <v>255</v>
      </c>
      <c r="E59" s="8">
        <v>373</v>
      </c>
      <c r="F59" s="4">
        <v>346</v>
      </c>
      <c r="G59" s="12">
        <f>Tabela6[[#This Row],[Diplomados SED]]/Tabela6[[#This Row],[Total Concluintes 2024]]*100</f>
        <v>92.761394101876675</v>
      </c>
      <c r="H59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60" spans="1:8">
      <c r="A60" s="20">
        <v>66</v>
      </c>
      <c r="B60" s="2" t="s">
        <v>292</v>
      </c>
      <c r="C60" s="3">
        <v>202</v>
      </c>
      <c r="D60" s="3">
        <v>351</v>
      </c>
      <c r="E60" s="8">
        <v>553</v>
      </c>
      <c r="F60" s="4">
        <v>548</v>
      </c>
      <c r="G60" s="12">
        <f>Tabela6[[#This Row],[Diplomados SED]]/Tabela6[[#This Row],[Total Concluintes 2024]]*100</f>
        <v>99.095840867992763</v>
      </c>
      <c r="H60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61" spans="1:8">
      <c r="A61" s="20">
        <v>67</v>
      </c>
      <c r="B61" s="2" t="s">
        <v>293</v>
      </c>
      <c r="C61" s="3">
        <v>255</v>
      </c>
      <c r="D61" s="3">
        <v>441</v>
      </c>
      <c r="E61" s="8">
        <v>696</v>
      </c>
      <c r="F61" s="4">
        <v>645</v>
      </c>
      <c r="G61" s="12">
        <f>Tabela6[[#This Row],[Diplomados SED]]/Tabela6[[#This Row],[Total Concluintes 2024]]*100</f>
        <v>92.672413793103445</v>
      </c>
      <c r="H61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62" spans="1:8">
      <c r="A62" s="20">
        <v>68</v>
      </c>
      <c r="B62" s="2" t="s">
        <v>294</v>
      </c>
      <c r="C62" s="3">
        <v>205</v>
      </c>
      <c r="D62" s="3">
        <v>345</v>
      </c>
      <c r="E62" s="8">
        <v>550</v>
      </c>
      <c r="F62" s="4">
        <v>492</v>
      </c>
      <c r="G62" s="12">
        <f>Tabela6[[#This Row],[Diplomados SED]]/Tabela6[[#This Row],[Total Concluintes 2024]]*100</f>
        <v>89.454545454545453</v>
      </c>
      <c r="H62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63" spans="1:8">
      <c r="A63" s="20">
        <v>69</v>
      </c>
      <c r="B63" s="2" t="s">
        <v>295</v>
      </c>
      <c r="C63" s="3">
        <v>13</v>
      </c>
      <c r="D63" s="3">
        <v>80</v>
      </c>
      <c r="E63" s="8">
        <v>93</v>
      </c>
      <c r="F63" s="4">
        <v>92</v>
      </c>
      <c r="G63" s="12">
        <f>Tabela6[[#This Row],[Diplomados SED]]/Tabela6[[#This Row],[Total Concluintes 2024]]*100</f>
        <v>98.924731182795696</v>
      </c>
      <c r="H63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64" spans="1:8">
      <c r="A64" s="20">
        <v>70</v>
      </c>
      <c r="B64" s="2" t="s">
        <v>296</v>
      </c>
      <c r="C64" s="3">
        <v>276</v>
      </c>
      <c r="D64" s="3">
        <v>365</v>
      </c>
      <c r="E64" s="8">
        <v>641</v>
      </c>
      <c r="F64" s="4">
        <v>635</v>
      </c>
      <c r="G64" s="12">
        <f>Tabela6[[#This Row],[Diplomados SED]]/Tabela6[[#This Row],[Total Concluintes 2024]]*100</f>
        <v>99.06396255850234</v>
      </c>
      <c r="H64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65" spans="1:8">
      <c r="A65" s="20">
        <v>71</v>
      </c>
      <c r="B65" s="2" t="s">
        <v>297</v>
      </c>
      <c r="C65" s="3">
        <v>0</v>
      </c>
      <c r="D65" s="3">
        <v>98</v>
      </c>
      <c r="E65" s="8">
        <v>98</v>
      </c>
      <c r="F65" s="4">
        <v>94</v>
      </c>
      <c r="G65" s="12">
        <f>Tabela6[[#This Row],[Diplomados SED]]/Tabela6[[#This Row],[Total Concluintes 2024]]*100</f>
        <v>95.918367346938766</v>
      </c>
      <c r="H65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66" spans="1:8">
      <c r="A66" s="22">
        <v>72</v>
      </c>
      <c r="B66" s="5" t="s">
        <v>298</v>
      </c>
      <c r="C66" s="3">
        <v>9</v>
      </c>
      <c r="D66" s="3">
        <v>90</v>
      </c>
      <c r="E66" s="8">
        <v>99</v>
      </c>
      <c r="F66" s="4">
        <v>89</v>
      </c>
      <c r="G66" s="12">
        <f>Tabela6[[#This Row],[Diplomados SED]]/Tabela6[[#This Row],[Total Concluintes 2024]]*100</f>
        <v>89.898989898989896</v>
      </c>
      <c r="H66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67" spans="1:8">
      <c r="A67" s="20">
        <v>73</v>
      </c>
      <c r="B67" s="2" t="s">
        <v>299</v>
      </c>
      <c r="C67" s="3">
        <v>72</v>
      </c>
      <c r="D67" s="3">
        <v>324</v>
      </c>
      <c r="E67" s="8">
        <v>396</v>
      </c>
      <c r="F67" s="4">
        <v>396</v>
      </c>
      <c r="G67" s="12">
        <f>Tabela6[[#This Row],[Diplomados SED]]/Tabela6[[#This Row],[Total Concluintes 2024]]*100</f>
        <v>100</v>
      </c>
      <c r="H67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68" spans="1:8">
      <c r="A68" s="20">
        <v>74</v>
      </c>
      <c r="B68" s="2" t="s">
        <v>300</v>
      </c>
      <c r="C68" s="3">
        <v>494</v>
      </c>
      <c r="D68" s="3">
        <v>586</v>
      </c>
      <c r="E68" s="8">
        <v>1080</v>
      </c>
      <c r="F68" s="4">
        <v>917</v>
      </c>
      <c r="G68" s="12">
        <f>Tabela6[[#This Row],[Diplomados SED]]/Tabela6[[#This Row],[Total Concluintes 2024]]*100</f>
        <v>84.907407407407405</v>
      </c>
      <c r="H68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69" spans="1:8">
      <c r="A69" s="20">
        <v>75</v>
      </c>
      <c r="B69" s="2" t="s">
        <v>301</v>
      </c>
      <c r="C69" s="3">
        <v>100</v>
      </c>
      <c r="D69" s="3">
        <v>141</v>
      </c>
      <c r="E69" s="8">
        <v>241</v>
      </c>
      <c r="F69" s="4">
        <v>238</v>
      </c>
      <c r="G69" s="12">
        <f>Tabela6[[#This Row],[Diplomados SED]]/Tabela6[[#This Row],[Total Concluintes 2024]]*100</f>
        <v>98.755186721991706</v>
      </c>
      <c r="H69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70" spans="1:8">
      <c r="A70" s="20">
        <v>76</v>
      </c>
      <c r="B70" s="2" t="s">
        <v>302</v>
      </c>
      <c r="C70" s="3">
        <v>223</v>
      </c>
      <c r="D70" s="3">
        <v>362</v>
      </c>
      <c r="E70" s="8">
        <v>585</v>
      </c>
      <c r="F70" s="4">
        <v>512</v>
      </c>
      <c r="G70" s="12">
        <f>Tabela6[[#This Row],[Diplomados SED]]/Tabela6[[#This Row],[Total Concluintes 2024]]*100</f>
        <v>87.521367521367523</v>
      </c>
      <c r="H70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71" spans="1:8">
      <c r="A71" s="20">
        <v>77</v>
      </c>
      <c r="B71" s="2" t="s">
        <v>303</v>
      </c>
      <c r="C71" s="3">
        <v>155</v>
      </c>
      <c r="D71" s="3">
        <v>385</v>
      </c>
      <c r="E71" s="8">
        <v>540</v>
      </c>
      <c r="F71" s="4">
        <v>503</v>
      </c>
      <c r="G71" s="12">
        <f>Tabela6[[#This Row],[Diplomados SED]]/Tabela6[[#This Row],[Total Concluintes 2024]]*100</f>
        <v>93.148148148148152</v>
      </c>
      <c r="H71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72" spans="1:8">
      <c r="A72" s="20">
        <v>78</v>
      </c>
      <c r="B72" s="2" t="s">
        <v>304</v>
      </c>
      <c r="C72" s="3">
        <v>152</v>
      </c>
      <c r="D72" s="3">
        <v>350</v>
      </c>
      <c r="E72" s="8">
        <v>502</v>
      </c>
      <c r="F72" s="4">
        <v>499</v>
      </c>
      <c r="G72" s="12">
        <f>Tabela6[[#This Row],[Diplomados SED]]/Tabela6[[#This Row],[Total Concluintes 2024]]*100</f>
        <v>99.402390438247011</v>
      </c>
      <c r="H72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73" spans="1:8">
      <c r="A73" s="20">
        <v>79</v>
      </c>
      <c r="B73" s="2" t="s">
        <v>305</v>
      </c>
      <c r="C73" s="3">
        <v>10</v>
      </c>
      <c r="D73" s="3">
        <v>142</v>
      </c>
      <c r="E73" s="8">
        <v>152</v>
      </c>
      <c r="F73" s="4">
        <v>147</v>
      </c>
      <c r="G73" s="12">
        <f>Tabela6[[#This Row],[Diplomados SED]]/Tabela6[[#This Row],[Total Concluintes 2024]]*100</f>
        <v>96.710526315789465</v>
      </c>
      <c r="H73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74" spans="1:8">
      <c r="A74" s="20">
        <v>80</v>
      </c>
      <c r="B74" s="2" t="s">
        <v>306</v>
      </c>
      <c r="C74" s="3">
        <v>46</v>
      </c>
      <c r="D74" s="3">
        <v>125</v>
      </c>
      <c r="E74" s="8">
        <v>171</v>
      </c>
      <c r="F74" s="4">
        <v>151</v>
      </c>
      <c r="G74" s="12">
        <f>Tabela6[[#This Row],[Diplomados SED]]/Tabela6[[#This Row],[Total Concluintes 2024]]*100</f>
        <v>88.304093567251456</v>
      </c>
      <c r="H74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75" spans="1:8">
      <c r="A75" s="20">
        <v>81</v>
      </c>
      <c r="B75" s="2" t="s">
        <v>307</v>
      </c>
      <c r="C75" s="3">
        <v>95</v>
      </c>
      <c r="D75" s="3">
        <v>137</v>
      </c>
      <c r="E75" s="8">
        <v>232</v>
      </c>
      <c r="F75" s="4">
        <v>230</v>
      </c>
      <c r="G75" s="12">
        <f>Tabela6[[#This Row],[Diplomados SED]]/Tabela6[[#This Row],[Total Concluintes 2024]]*100</f>
        <v>99.137931034482762</v>
      </c>
      <c r="H75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76" spans="1:8">
      <c r="A76" s="20">
        <v>82</v>
      </c>
      <c r="B76" s="2" t="s">
        <v>308</v>
      </c>
      <c r="C76" s="3">
        <v>104</v>
      </c>
      <c r="D76" s="3">
        <v>175</v>
      </c>
      <c r="E76" s="8">
        <v>279</v>
      </c>
      <c r="F76" s="4">
        <v>225</v>
      </c>
      <c r="G76" s="12">
        <f>Tabela6[[#This Row],[Diplomados SED]]/Tabela6[[#This Row],[Total Concluintes 2024]]*100</f>
        <v>80.645161290322577</v>
      </c>
      <c r="H76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77" spans="1:8">
      <c r="A77" s="20">
        <v>83</v>
      </c>
      <c r="B77" s="2" t="s">
        <v>309</v>
      </c>
      <c r="C77" s="3">
        <v>29</v>
      </c>
      <c r="D77" s="3">
        <v>76</v>
      </c>
      <c r="E77" s="8">
        <v>105</v>
      </c>
      <c r="F77" s="4">
        <v>104</v>
      </c>
      <c r="G77" s="12">
        <f>Tabela6[[#This Row],[Diplomados SED]]/Tabela6[[#This Row],[Total Concluintes 2024]]*100</f>
        <v>99.047619047619051</v>
      </c>
      <c r="H77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78" spans="1:8">
      <c r="A78" s="20">
        <v>84</v>
      </c>
      <c r="B78" s="2" t="s">
        <v>310</v>
      </c>
      <c r="C78" s="3">
        <v>119</v>
      </c>
      <c r="D78" s="3">
        <v>262</v>
      </c>
      <c r="E78" s="8">
        <v>381</v>
      </c>
      <c r="F78" s="4">
        <v>369</v>
      </c>
      <c r="G78" s="12">
        <f>Tabela6[[#This Row],[Diplomados SED]]/Tabela6[[#This Row],[Total Concluintes 2024]]*100</f>
        <v>96.850393700787393</v>
      </c>
      <c r="H78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79" spans="1:8">
      <c r="A79" s="22">
        <v>85</v>
      </c>
      <c r="B79" s="5" t="s">
        <v>311</v>
      </c>
      <c r="C79" s="3">
        <v>207</v>
      </c>
      <c r="D79" s="3">
        <v>346</v>
      </c>
      <c r="E79" s="8">
        <v>553</v>
      </c>
      <c r="F79" s="4">
        <v>430</v>
      </c>
      <c r="G79" s="12">
        <f>Tabela6[[#This Row],[Diplomados SED]]/Tabela6[[#This Row],[Total Concluintes 2024]]*100</f>
        <v>77.757685352622062</v>
      </c>
      <c r="H79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0.8</v>
      </c>
    </row>
    <row r="80" spans="1:8">
      <c r="A80" s="20">
        <v>86</v>
      </c>
      <c r="B80" s="2" t="s">
        <v>312</v>
      </c>
      <c r="C80" s="3">
        <v>14</v>
      </c>
      <c r="D80" s="3">
        <v>188</v>
      </c>
      <c r="E80" s="8">
        <v>202</v>
      </c>
      <c r="F80" s="4">
        <v>197</v>
      </c>
      <c r="G80" s="12">
        <f>Tabela6[[#This Row],[Diplomados SED]]/Tabela6[[#This Row],[Total Concluintes 2024]]*100</f>
        <v>97.524752475247524</v>
      </c>
      <c r="H80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81" spans="1:8">
      <c r="A81" s="20">
        <v>87</v>
      </c>
      <c r="B81" s="2" t="s">
        <v>313</v>
      </c>
      <c r="C81" s="3">
        <v>10</v>
      </c>
      <c r="D81" s="3">
        <v>78</v>
      </c>
      <c r="E81" s="8">
        <v>88</v>
      </c>
      <c r="F81" s="4">
        <v>88</v>
      </c>
      <c r="G81" s="12">
        <f>Tabela6[[#This Row],[Diplomados SED]]/Tabela6[[#This Row],[Total Concluintes 2024]]*100</f>
        <v>100</v>
      </c>
      <c r="H81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82" spans="1:8">
      <c r="A82" s="20">
        <v>88</v>
      </c>
      <c r="B82" s="2" t="s">
        <v>314</v>
      </c>
      <c r="C82" s="3">
        <v>146</v>
      </c>
      <c r="D82" s="3">
        <v>280</v>
      </c>
      <c r="E82" s="8">
        <v>426</v>
      </c>
      <c r="F82" s="4">
        <v>412</v>
      </c>
      <c r="G82" s="12">
        <f>Tabela6[[#This Row],[Diplomados SED]]/Tabela6[[#This Row],[Total Concluintes 2024]]*100</f>
        <v>96.713615023474176</v>
      </c>
      <c r="H82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83" spans="1:8">
      <c r="A83" s="22">
        <v>89</v>
      </c>
      <c r="B83" s="5" t="s">
        <v>315</v>
      </c>
      <c r="C83" s="3">
        <v>0</v>
      </c>
      <c r="D83" s="3">
        <v>92</v>
      </c>
      <c r="E83" s="8">
        <v>92</v>
      </c>
      <c r="F83" s="4">
        <v>86</v>
      </c>
      <c r="G83" s="12">
        <f>Tabela6[[#This Row],[Diplomados SED]]/Tabela6[[#This Row],[Total Concluintes 2024]]*100</f>
        <v>93.478260869565219</v>
      </c>
      <c r="H83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84" spans="1:8">
      <c r="A84" s="20">
        <v>90</v>
      </c>
      <c r="B84" s="2" t="s">
        <v>316</v>
      </c>
      <c r="C84" s="3">
        <v>28</v>
      </c>
      <c r="D84" s="3">
        <v>77</v>
      </c>
      <c r="E84" s="8">
        <v>105</v>
      </c>
      <c r="F84" s="4">
        <v>100</v>
      </c>
      <c r="G84" s="12">
        <f>Tabela6[[#This Row],[Diplomados SED]]/Tabela6[[#This Row],[Total Concluintes 2024]]*100</f>
        <v>95.238095238095227</v>
      </c>
      <c r="H84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85" spans="1:8">
      <c r="A85" s="20">
        <v>91</v>
      </c>
      <c r="B85" s="2" t="s">
        <v>317</v>
      </c>
      <c r="C85" s="3">
        <v>126</v>
      </c>
      <c r="D85" s="3">
        <v>297</v>
      </c>
      <c r="E85" s="8">
        <v>423</v>
      </c>
      <c r="F85" s="4">
        <v>401</v>
      </c>
      <c r="G85" s="12">
        <f>Tabela6[[#This Row],[Diplomados SED]]/Tabela6[[#This Row],[Total Concluintes 2024]]*100</f>
        <v>94.799054373522466</v>
      </c>
      <c r="H85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86" spans="1:8">
      <c r="A86" s="20">
        <v>92</v>
      </c>
      <c r="B86" s="2" t="s">
        <v>318</v>
      </c>
      <c r="C86" s="3">
        <v>0</v>
      </c>
      <c r="D86" s="3">
        <v>58</v>
      </c>
      <c r="E86" s="8">
        <v>58</v>
      </c>
      <c r="F86" s="4">
        <v>58</v>
      </c>
      <c r="G86" s="12">
        <f>Tabela6[[#This Row],[Diplomados SED]]/Tabela6[[#This Row],[Total Concluintes 2024]]*100</f>
        <v>100</v>
      </c>
      <c r="H86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87" spans="1:8">
      <c r="A87" s="20">
        <v>93</v>
      </c>
      <c r="B87" s="2" t="s">
        <v>319</v>
      </c>
      <c r="C87" s="3">
        <v>19</v>
      </c>
      <c r="D87" s="3">
        <v>66</v>
      </c>
      <c r="E87" s="8">
        <v>85</v>
      </c>
      <c r="F87" s="4">
        <v>81</v>
      </c>
      <c r="G87" s="12">
        <f>Tabela6[[#This Row],[Diplomados SED]]/Tabela6[[#This Row],[Total Concluintes 2024]]*100</f>
        <v>95.294117647058812</v>
      </c>
      <c r="H87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88" spans="1:8">
      <c r="A88" s="20">
        <v>94</v>
      </c>
      <c r="B88" s="2" t="s">
        <v>320</v>
      </c>
      <c r="C88" s="3">
        <v>126</v>
      </c>
      <c r="D88" s="3">
        <v>305</v>
      </c>
      <c r="E88" s="8">
        <v>431</v>
      </c>
      <c r="F88" s="4">
        <v>411</v>
      </c>
      <c r="G88" s="12">
        <f>Tabela6[[#This Row],[Diplomados SED]]/Tabela6[[#This Row],[Total Concluintes 2024]]*100</f>
        <v>95.359628770301612</v>
      </c>
      <c r="H88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89" spans="1:8">
      <c r="A89" s="20">
        <v>95</v>
      </c>
      <c r="B89" s="2" t="s">
        <v>321</v>
      </c>
      <c r="C89" s="3">
        <v>160</v>
      </c>
      <c r="D89" s="3">
        <v>408</v>
      </c>
      <c r="E89" s="8">
        <v>568</v>
      </c>
      <c r="F89" s="4">
        <v>545</v>
      </c>
      <c r="G89" s="12">
        <f>Tabela6[[#This Row],[Diplomados SED]]/Tabela6[[#This Row],[Total Concluintes 2024]]*100</f>
        <v>95.950704225352112</v>
      </c>
      <c r="H89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90" spans="1:8">
      <c r="A90" s="20">
        <v>96</v>
      </c>
      <c r="B90" s="2" t="s">
        <v>322</v>
      </c>
      <c r="C90" s="3">
        <v>214</v>
      </c>
      <c r="D90" s="3">
        <v>440</v>
      </c>
      <c r="E90" s="8">
        <v>654</v>
      </c>
      <c r="F90" s="4">
        <v>611</v>
      </c>
      <c r="G90" s="12">
        <f>Tabela6[[#This Row],[Diplomados SED]]/Tabela6[[#This Row],[Total Concluintes 2024]]*100</f>
        <v>93.425076452599384</v>
      </c>
      <c r="H90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91" spans="1:8">
      <c r="A91" s="20">
        <v>97</v>
      </c>
      <c r="B91" s="2" t="s">
        <v>323</v>
      </c>
      <c r="C91" s="3">
        <v>27</v>
      </c>
      <c r="D91" s="3">
        <v>122</v>
      </c>
      <c r="E91" s="8">
        <v>149</v>
      </c>
      <c r="F91" s="4">
        <v>147</v>
      </c>
      <c r="G91" s="12">
        <f>Tabela6[[#This Row],[Diplomados SED]]/Tabela6[[#This Row],[Total Concluintes 2024]]*100</f>
        <v>98.65771812080537</v>
      </c>
      <c r="H91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92" spans="1:8">
      <c r="A92" s="20">
        <v>98</v>
      </c>
      <c r="B92" s="2" t="s">
        <v>324</v>
      </c>
      <c r="C92" s="3">
        <v>217</v>
      </c>
      <c r="D92" s="3">
        <v>661</v>
      </c>
      <c r="E92" s="8">
        <v>878</v>
      </c>
      <c r="F92" s="4">
        <v>854</v>
      </c>
      <c r="G92" s="12">
        <f>Tabela6[[#This Row],[Diplomados SED]]/Tabela6[[#This Row],[Total Concluintes 2024]]*100</f>
        <v>97.26651480637814</v>
      </c>
      <c r="H92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93" spans="1:8">
      <c r="A93" s="20">
        <v>99</v>
      </c>
      <c r="B93" s="2" t="s">
        <v>325</v>
      </c>
      <c r="C93" s="3">
        <v>76</v>
      </c>
      <c r="D93" s="3">
        <v>195</v>
      </c>
      <c r="E93" s="8">
        <v>271</v>
      </c>
      <c r="F93" s="4">
        <v>251</v>
      </c>
      <c r="G93" s="12">
        <f>Tabela6[[#This Row],[Diplomados SED]]/Tabela6[[#This Row],[Total Concluintes 2024]]*100</f>
        <v>92.619926199261997</v>
      </c>
      <c r="H93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94" spans="1:8">
      <c r="A94" s="20">
        <v>100</v>
      </c>
      <c r="B94" s="2" t="s">
        <v>326</v>
      </c>
      <c r="C94" s="3">
        <v>158</v>
      </c>
      <c r="D94" s="3">
        <v>311</v>
      </c>
      <c r="E94" s="8">
        <v>469</v>
      </c>
      <c r="F94" s="4">
        <v>435</v>
      </c>
      <c r="G94" s="12">
        <f>Tabela6[[#This Row],[Diplomados SED]]/Tabela6[[#This Row],[Total Concluintes 2024]]*100</f>
        <v>92.750533049040513</v>
      </c>
      <c r="H94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95" spans="1:8">
      <c r="A95" s="22">
        <v>101</v>
      </c>
      <c r="B95" s="5" t="s">
        <v>327</v>
      </c>
      <c r="C95" s="3">
        <v>206</v>
      </c>
      <c r="D95" s="3">
        <v>398</v>
      </c>
      <c r="E95" s="8">
        <v>604</v>
      </c>
      <c r="F95" s="4">
        <v>559</v>
      </c>
      <c r="G95" s="12">
        <f>Tabela6[[#This Row],[Diplomados SED]]/Tabela6[[#This Row],[Total Concluintes 2024]]*100</f>
        <v>92.549668874172184</v>
      </c>
      <c r="H95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96" spans="1:8">
      <c r="A96" s="22">
        <v>102</v>
      </c>
      <c r="B96" s="5" t="s">
        <v>328</v>
      </c>
      <c r="C96" s="3">
        <v>42</v>
      </c>
      <c r="D96" s="3">
        <v>90</v>
      </c>
      <c r="E96" s="8">
        <v>132</v>
      </c>
      <c r="F96" s="4">
        <v>127</v>
      </c>
      <c r="G96" s="12">
        <f>Tabela6[[#This Row],[Diplomados SED]]/Tabela6[[#This Row],[Total Concluintes 2024]]*100</f>
        <v>96.212121212121218</v>
      </c>
      <c r="H96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97" spans="1:8">
      <c r="A97" s="20">
        <v>103</v>
      </c>
      <c r="B97" s="2" t="s">
        <v>329</v>
      </c>
      <c r="C97" s="3">
        <v>181</v>
      </c>
      <c r="D97" s="3">
        <v>386</v>
      </c>
      <c r="E97" s="8">
        <v>567</v>
      </c>
      <c r="F97" s="4">
        <v>538</v>
      </c>
      <c r="G97" s="12">
        <f>Tabela6[[#This Row],[Diplomados SED]]/Tabela6[[#This Row],[Total Concluintes 2024]]*100</f>
        <v>94.885361552028215</v>
      </c>
      <c r="H97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98" spans="1:8">
      <c r="A98" s="20">
        <v>104</v>
      </c>
      <c r="B98" s="2" t="s">
        <v>330</v>
      </c>
      <c r="C98" s="3">
        <v>83</v>
      </c>
      <c r="D98" s="3">
        <v>226</v>
      </c>
      <c r="E98" s="8">
        <v>309</v>
      </c>
      <c r="F98" s="4">
        <v>296</v>
      </c>
      <c r="G98" s="12">
        <f>Tabela6[[#This Row],[Diplomados SED]]/Tabela6[[#This Row],[Total Concluintes 2024]]*100</f>
        <v>95.792880258899672</v>
      </c>
      <c r="H98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99" spans="1:8">
      <c r="A99" s="20">
        <v>107</v>
      </c>
      <c r="B99" s="2" t="s">
        <v>331</v>
      </c>
      <c r="C99" s="3">
        <v>150</v>
      </c>
      <c r="D99" s="3">
        <v>329</v>
      </c>
      <c r="E99" s="8">
        <v>479</v>
      </c>
      <c r="F99" s="4">
        <v>408</v>
      </c>
      <c r="G99" s="12">
        <f>Tabela6[[#This Row],[Diplomados SED]]/Tabela6[[#This Row],[Total Concluintes 2024]]*100</f>
        <v>85.177453027139876</v>
      </c>
      <c r="H99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00" spans="1:8">
      <c r="A100" s="20">
        <v>108</v>
      </c>
      <c r="B100" s="2" t="s">
        <v>332</v>
      </c>
      <c r="C100" s="3">
        <v>203</v>
      </c>
      <c r="D100" s="3">
        <v>427</v>
      </c>
      <c r="E100" s="8">
        <v>630</v>
      </c>
      <c r="F100" s="4">
        <v>568</v>
      </c>
      <c r="G100" s="12">
        <f>Tabela6[[#This Row],[Diplomados SED]]/Tabela6[[#This Row],[Total Concluintes 2024]]*100</f>
        <v>90.158730158730165</v>
      </c>
      <c r="H100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01" spans="1:8">
      <c r="A101" s="20">
        <v>110</v>
      </c>
      <c r="B101" s="2" t="s">
        <v>333</v>
      </c>
      <c r="C101" s="3">
        <v>89</v>
      </c>
      <c r="D101" s="3">
        <v>246</v>
      </c>
      <c r="E101" s="8">
        <v>335</v>
      </c>
      <c r="F101" s="4">
        <v>295</v>
      </c>
      <c r="G101" s="12">
        <f>Tabela6[[#This Row],[Diplomados SED]]/Tabela6[[#This Row],[Total Concluintes 2024]]*100</f>
        <v>88.059701492537314</v>
      </c>
      <c r="H101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02" spans="1:8">
      <c r="A102" s="20">
        <v>115</v>
      </c>
      <c r="B102" s="2" t="s">
        <v>334</v>
      </c>
      <c r="C102" s="3">
        <v>75</v>
      </c>
      <c r="D102" s="3">
        <v>301</v>
      </c>
      <c r="E102" s="8">
        <v>376</v>
      </c>
      <c r="F102" s="4">
        <v>334</v>
      </c>
      <c r="G102" s="12">
        <f>Tabela6[[#This Row],[Diplomados SED]]/Tabela6[[#This Row],[Total Concluintes 2024]]*100</f>
        <v>88.829787234042556</v>
      </c>
      <c r="H102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03" spans="1:8">
      <c r="A103" s="20">
        <v>116</v>
      </c>
      <c r="B103" s="2" t="s">
        <v>335</v>
      </c>
      <c r="C103" s="3">
        <v>93</v>
      </c>
      <c r="D103" s="3">
        <v>100</v>
      </c>
      <c r="E103" s="8">
        <v>193</v>
      </c>
      <c r="F103" s="4">
        <v>111</v>
      </c>
      <c r="G103" s="12">
        <f>Tabela6[[#This Row],[Diplomados SED]]/Tabela6[[#This Row],[Total Concluintes 2024]]*100</f>
        <v>57.512953367875653</v>
      </c>
      <c r="H103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0.6</v>
      </c>
    </row>
    <row r="104" spans="1:8">
      <c r="A104" s="20">
        <v>117</v>
      </c>
      <c r="B104" s="2" t="s">
        <v>336</v>
      </c>
      <c r="C104" s="3">
        <v>196</v>
      </c>
      <c r="D104" s="3">
        <v>419</v>
      </c>
      <c r="E104" s="8">
        <v>615</v>
      </c>
      <c r="F104" s="4">
        <v>573</v>
      </c>
      <c r="G104" s="12">
        <f>Tabela6[[#This Row],[Diplomados SED]]/Tabela6[[#This Row],[Total Concluintes 2024]]*100</f>
        <v>93.170731707317074</v>
      </c>
      <c r="H104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05" spans="1:8">
      <c r="A105" s="20">
        <v>118</v>
      </c>
      <c r="B105" s="2" t="s">
        <v>337</v>
      </c>
      <c r="C105" s="3">
        <v>242</v>
      </c>
      <c r="D105" s="3">
        <v>350</v>
      </c>
      <c r="E105" s="8">
        <v>592</v>
      </c>
      <c r="F105" s="4">
        <v>449</v>
      </c>
      <c r="G105" s="12">
        <f>Tabela6[[#This Row],[Diplomados SED]]/Tabela6[[#This Row],[Total Concluintes 2024]]*100</f>
        <v>75.844594594594597</v>
      </c>
      <c r="H105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0.8</v>
      </c>
    </row>
    <row r="106" spans="1:8">
      <c r="A106" s="20">
        <v>122</v>
      </c>
      <c r="B106" s="2" t="s">
        <v>338</v>
      </c>
      <c r="C106" s="3">
        <v>248</v>
      </c>
      <c r="D106" s="3">
        <v>414</v>
      </c>
      <c r="E106" s="8">
        <v>662</v>
      </c>
      <c r="F106" s="4">
        <v>550</v>
      </c>
      <c r="G106" s="12">
        <f>Tabela6[[#This Row],[Diplomados SED]]/Tabela6[[#This Row],[Total Concluintes 2024]]*100</f>
        <v>83.081570996978854</v>
      </c>
      <c r="H106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07" spans="1:8">
      <c r="A107" s="20">
        <v>123</v>
      </c>
      <c r="B107" s="2" t="s">
        <v>339</v>
      </c>
      <c r="C107" s="3">
        <v>126</v>
      </c>
      <c r="D107" s="3">
        <v>236</v>
      </c>
      <c r="E107" s="8">
        <v>362</v>
      </c>
      <c r="F107" s="4">
        <v>353</v>
      </c>
      <c r="G107" s="12">
        <f>Tabela6[[#This Row],[Diplomados SED]]/Tabela6[[#This Row],[Total Concluintes 2024]]*100</f>
        <v>97.51381215469614</v>
      </c>
      <c r="H107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08" spans="1:8">
      <c r="A108" s="22">
        <v>124</v>
      </c>
      <c r="B108" s="5" t="s">
        <v>340</v>
      </c>
      <c r="C108" s="3">
        <v>0</v>
      </c>
      <c r="D108" s="3">
        <v>154</v>
      </c>
      <c r="E108" s="8">
        <v>154</v>
      </c>
      <c r="F108" s="4">
        <v>154</v>
      </c>
      <c r="G108" s="12">
        <f>Tabela6[[#This Row],[Diplomados SED]]/Tabela6[[#This Row],[Total Concluintes 2024]]*100</f>
        <v>100</v>
      </c>
      <c r="H108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09" spans="1:8">
      <c r="A109" s="20">
        <v>125</v>
      </c>
      <c r="B109" s="2" t="s">
        <v>341</v>
      </c>
      <c r="C109" s="3">
        <v>54</v>
      </c>
      <c r="D109" s="3">
        <v>312</v>
      </c>
      <c r="E109" s="8">
        <v>366</v>
      </c>
      <c r="F109" s="4">
        <v>344</v>
      </c>
      <c r="G109" s="12">
        <f>Tabela6[[#This Row],[Diplomados SED]]/Tabela6[[#This Row],[Total Concluintes 2024]]*100</f>
        <v>93.989071038251367</v>
      </c>
      <c r="H109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10" spans="1:8">
      <c r="A110" s="20">
        <v>128</v>
      </c>
      <c r="B110" s="2" t="s">
        <v>342</v>
      </c>
      <c r="C110" s="3">
        <v>170</v>
      </c>
      <c r="D110" s="3">
        <v>289</v>
      </c>
      <c r="E110" s="8">
        <v>459</v>
      </c>
      <c r="F110" s="4">
        <v>379</v>
      </c>
      <c r="G110" s="12">
        <f>Tabela6[[#This Row],[Diplomados SED]]/Tabela6[[#This Row],[Total Concluintes 2024]]*100</f>
        <v>82.570806100217865</v>
      </c>
      <c r="H110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11" spans="1:8">
      <c r="A111" s="20">
        <v>134</v>
      </c>
      <c r="B111" s="2" t="s">
        <v>343</v>
      </c>
      <c r="C111" s="3">
        <v>326</v>
      </c>
      <c r="D111" s="3">
        <v>538</v>
      </c>
      <c r="E111" s="8">
        <v>864</v>
      </c>
      <c r="F111" s="4">
        <v>735</v>
      </c>
      <c r="G111" s="12">
        <f>Tabela6[[#This Row],[Diplomados SED]]/Tabela6[[#This Row],[Total Concluintes 2024]]*100</f>
        <v>85.069444444444443</v>
      </c>
      <c r="H111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12" spans="1:8">
      <c r="A112" s="22">
        <v>135</v>
      </c>
      <c r="B112" s="5" t="s">
        <v>344</v>
      </c>
      <c r="C112" s="3">
        <v>176</v>
      </c>
      <c r="D112" s="3">
        <v>374</v>
      </c>
      <c r="E112" s="8">
        <v>550</v>
      </c>
      <c r="F112" s="4">
        <v>531</v>
      </c>
      <c r="G112" s="12">
        <f>Tabela6[[#This Row],[Diplomados SED]]/Tabela6[[#This Row],[Total Concluintes 2024]]*100</f>
        <v>96.545454545454547</v>
      </c>
      <c r="H112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13" spans="1:8">
      <c r="A113" s="20">
        <v>136</v>
      </c>
      <c r="B113" s="2" t="s">
        <v>345</v>
      </c>
      <c r="C113" s="3">
        <v>129</v>
      </c>
      <c r="D113" s="3">
        <v>373</v>
      </c>
      <c r="E113" s="8">
        <v>502</v>
      </c>
      <c r="F113" s="4">
        <v>481</v>
      </c>
      <c r="G113" s="12">
        <f>Tabela6[[#This Row],[Diplomados SED]]/Tabela6[[#This Row],[Total Concluintes 2024]]*100</f>
        <v>95.816733067729089</v>
      </c>
      <c r="H113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14" spans="1:8">
      <c r="A114" s="20">
        <v>138</v>
      </c>
      <c r="B114" s="2" t="s">
        <v>346</v>
      </c>
      <c r="C114" s="3">
        <v>113</v>
      </c>
      <c r="D114" s="3">
        <v>287</v>
      </c>
      <c r="E114" s="8">
        <v>400</v>
      </c>
      <c r="F114" s="4">
        <v>347</v>
      </c>
      <c r="G114" s="12">
        <f>Tabela6[[#This Row],[Diplomados SED]]/Tabela6[[#This Row],[Total Concluintes 2024]]*100</f>
        <v>86.75</v>
      </c>
      <c r="H114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15" spans="1:8">
      <c r="A115" s="20">
        <v>139</v>
      </c>
      <c r="B115" s="2" t="s">
        <v>347</v>
      </c>
      <c r="C115" s="3">
        <v>130</v>
      </c>
      <c r="D115" s="3">
        <v>246</v>
      </c>
      <c r="E115" s="8">
        <v>376</v>
      </c>
      <c r="F115" s="4">
        <v>375</v>
      </c>
      <c r="G115" s="12">
        <f>Tabela6[[#This Row],[Diplomados SED]]/Tabela6[[#This Row],[Total Concluintes 2024]]*100</f>
        <v>99.7340425531915</v>
      </c>
      <c r="H115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16" spans="1:8">
      <c r="A116" s="22">
        <v>140</v>
      </c>
      <c r="B116" s="5" t="s">
        <v>348</v>
      </c>
      <c r="C116" s="3">
        <v>39</v>
      </c>
      <c r="D116" s="3">
        <v>129</v>
      </c>
      <c r="E116" s="8">
        <v>168</v>
      </c>
      <c r="F116" s="4">
        <v>151</v>
      </c>
      <c r="G116" s="12">
        <f>Tabela6[[#This Row],[Diplomados SED]]/Tabela6[[#This Row],[Total Concluintes 2024]]*100</f>
        <v>89.88095238095238</v>
      </c>
      <c r="H116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17" spans="1:8">
      <c r="A117" s="20">
        <v>141</v>
      </c>
      <c r="B117" s="2" t="s">
        <v>349</v>
      </c>
      <c r="C117" s="3">
        <v>99</v>
      </c>
      <c r="D117" s="3">
        <v>297</v>
      </c>
      <c r="E117" s="8">
        <v>396</v>
      </c>
      <c r="F117" s="4">
        <v>331</v>
      </c>
      <c r="G117" s="12">
        <f>Tabela6[[#This Row],[Diplomados SED]]/Tabela6[[#This Row],[Total Concluintes 2024]]*100</f>
        <v>83.585858585858588</v>
      </c>
      <c r="H117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18" spans="1:8">
      <c r="A118" s="20">
        <v>142</v>
      </c>
      <c r="B118" s="2" t="s">
        <v>350</v>
      </c>
      <c r="C118" s="3">
        <v>131</v>
      </c>
      <c r="D118" s="3">
        <v>329</v>
      </c>
      <c r="E118" s="8">
        <v>460</v>
      </c>
      <c r="F118" s="4">
        <v>382</v>
      </c>
      <c r="G118" s="12">
        <f>Tabela6[[#This Row],[Diplomados SED]]/Tabela6[[#This Row],[Total Concluintes 2024]]*100</f>
        <v>83.043478260869563</v>
      </c>
      <c r="H118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19" spans="1:8">
      <c r="A119" s="20">
        <v>144</v>
      </c>
      <c r="B119" s="2" t="s">
        <v>351</v>
      </c>
      <c r="C119" s="3">
        <v>147</v>
      </c>
      <c r="D119" s="3">
        <v>295</v>
      </c>
      <c r="E119" s="8">
        <v>442</v>
      </c>
      <c r="F119" s="4">
        <v>300</v>
      </c>
      <c r="G119" s="12">
        <f>Tabela6[[#This Row],[Diplomados SED]]/Tabela6[[#This Row],[Total Concluintes 2024]]*100</f>
        <v>67.873303167420815</v>
      </c>
      <c r="H119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0.7</v>
      </c>
    </row>
    <row r="120" spans="1:8">
      <c r="A120" s="22">
        <v>145</v>
      </c>
      <c r="B120" s="5" t="s">
        <v>352</v>
      </c>
      <c r="C120" s="3">
        <v>40</v>
      </c>
      <c r="D120" s="3">
        <v>108</v>
      </c>
      <c r="E120" s="8">
        <v>148</v>
      </c>
      <c r="F120" s="4">
        <v>141</v>
      </c>
      <c r="G120" s="12">
        <f>Tabela6[[#This Row],[Diplomados SED]]/Tabela6[[#This Row],[Total Concluintes 2024]]*100</f>
        <v>95.270270270270274</v>
      </c>
      <c r="H120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21" spans="1:8">
      <c r="A121" s="20">
        <v>147</v>
      </c>
      <c r="B121" s="2" t="s">
        <v>353</v>
      </c>
      <c r="C121" s="3">
        <v>51</v>
      </c>
      <c r="D121" s="3">
        <v>313</v>
      </c>
      <c r="E121" s="8">
        <v>364</v>
      </c>
      <c r="F121" s="4">
        <v>327</v>
      </c>
      <c r="G121" s="12">
        <f>Tabela6[[#This Row],[Diplomados SED]]/Tabela6[[#This Row],[Total Concluintes 2024]]*100</f>
        <v>89.835164835164832</v>
      </c>
      <c r="H121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22" spans="1:8">
      <c r="A122" s="20">
        <v>148</v>
      </c>
      <c r="B122" s="2" t="s">
        <v>354</v>
      </c>
      <c r="C122" s="3">
        <v>200</v>
      </c>
      <c r="D122" s="3">
        <v>323</v>
      </c>
      <c r="E122" s="8">
        <v>523</v>
      </c>
      <c r="F122" s="4">
        <v>518</v>
      </c>
      <c r="G122" s="12">
        <f>Tabela6[[#This Row],[Diplomados SED]]/Tabela6[[#This Row],[Total Concluintes 2024]]*100</f>
        <v>99.043977055449332</v>
      </c>
      <c r="H122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23" spans="1:8">
      <c r="A123" s="20">
        <v>149</v>
      </c>
      <c r="B123" s="2" t="s">
        <v>355</v>
      </c>
      <c r="C123" s="3">
        <v>122</v>
      </c>
      <c r="D123" s="3">
        <v>346</v>
      </c>
      <c r="E123" s="8">
        <v>468</v>
      </c>
      <c r="F123" s="4">
        <v>454</v>
      </c>
      <c r="G123" s="12">
        <f>Tabela6[[#This Row],[Diplomados SED]]/Tabela6[[#This Row],[Total Concluintes 2024]]*100</f>
        <v>97.008547008547012</v>
      </c>
      <c r="H123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24" spans="1:8">
      <c r="A124" s="20">
        <v>150</v>
      </c>
      <c r="B124" s="2" t="s">
        <v>356</v>
      </c>
      <c r="C124" s="3">
        <v>67</v>
      </c>
      <c r="D124" s="3">
        <v>213</v>
      </c>
      <c r="E124" s="8">
        <v>280</v>
      </c>
      <c r="F124" s="4">
        <v>242</v>
      </c>
      <c r="G124" s="12">
        <f>Tabela6[[#This Row],[Diplomados SED]]/Tabela6[[#This Row],[Total Concluintes 2024]]*100</f>
        <v>86.428571428571431</v>
      </c>
      <c r="H124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25" spans="1:8">
      <c r="A125" s="20">
        <v>151</v>
      </c>
      <c r="B125" s="2" t="s">
        <v>357</v>
      </c>
      <c r="C125" s="3">
        <v>59</v>
      </c>
      <c r="D125" s="3">
        <v>312</v>
      </c>
      <c r="E125" s="8">
        <v>371</v>
      </c>
      <c r="F125" s="4">
        <v>334</v>
      </c>
      <c r="G125" s="12">
        <f>Tabela6[[#This Row],[Diplomados SED]]/Tabela6[[#This Row],[Total Concluintes 2024]]*100</f>
        <v>90.026954177897579</v>
      </c>
      <c r="H125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26" spans="1:8">
      <c r="A126" s="20">
        <v>152</v>
      </c>
      <c r="B126" s="2" t="s">
        <v>358</v>
      </c>
      <c r="C126" s="3">
        <v>99</v>
      </c>
      <c r="D126" s="3">
        <v>334</v>
      </c>
      <c r="E126" s="8">
        <v>433</v>
      </c>
      <c r="F126" s="4">
        <v>369</v>
      </c>
      <c r="G126" s="12">
        <f>Tabela6[[#This Row],[Diplomados SED]]/Tabela6[[#This Row],[Total Concluintes 2024]]*100</f>
        <v>85.219399538106231</v>
      </c>
      <c r="H126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27" spans="1:8">
      <c r="A127" s="20">
        <v>153</v>
      </c>
      <c r="B127" s="2" t="s">
        <v>359</v>
      </c>
      <c r="C127" s="3">
        <v>188</v>
      </c>
      <c r="D127" s="3">
        <v>471</v>
      </c>
      <c r="E127" s="8">
        <v>659</v>
      </c>
      <c r="F127" s="4">
        <v>563</v>
      </c>
      <c r="G127" s="12">
        <f>Tabela6[[#This Row],[Diplomados SED]]/Tabela6[[#This Row],[Total Concluintes 2024]]*100</f>
        <v>85.432473444613052</v>
      </c>
      <c r="H127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28" spans="1:8">
      <c r="A128" s="20">
        <v>154</v>
      </c>
      <c r="B128" s="2" t="s">
        <v>360</v>
      </c>
      <c r="C128" s="3">
        <v>41</v>
      </c>
      <c r="D128" s="3">
        <v>155</v>
      </c>
      <c r="E128" s="8">
        <v>196</v>
      </c>
      <c r="F128" s="4">
        <v>183</v>
      </c>
      <c r="G128" s="12">
        <f>Tabela6[[#This Row],[Diplomados SED]]/Tabela6[[#This Row],[Total Concluintes 2024]]*100</f>
        <v>93.367346938775512</v>
      </c>
      <c r="H128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29" spans="1:8">
      <c r="A129" s="20">
        <v>156</v>
      </c>
      <c r="B129" s="2" t="s">
        <v>361</v>
      </c>
      <c r="C129" s="3">
        <v>156</v>
      </c>
      <c r="D129" s="3">
        <v>127</v>
      </c>
      <c r="E129" s="8">
        <v>283</v>
      </c>
      <c r="F129" s="4">
        <v>241</v>
      </c>
      <c r="G129" s="12">
        <f>Tabela6[[#This Row],[Diplomados SED]]/Tabela6[[#This Row],[Total Concluintes 2024]]*100</f>
        <v>85.159010600706708</v>
      </c>
      <c r="H129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30" spans="1:8">
      <c r="A130" s="20">
        <v>158</v>
      </c>
      <c r="B130" s="2" t="s">
        <v>362</v>
      </c>
      <c r="C130" s="3">
        <v>67</v>
      </c>
      <c r="D130" s="3">
        <v>183</v>
      </c>
      <c r="E130" s="8">
        <v>250</v>
      </c>
      <c r="F130" s="4">
        <v>218</v>
      </c>
      <c r="G130" s="12">
        <f>Tabela6[[#This Row],[Diplomados SED]]/Tabela6[[#This Row],[Total Concluintes 2024]]*100</f>
        <v>87.2</v>
      </c>
      <c r="H130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31" spans="1:8">
      <c r="A131" s="20">
        <v>159</v>
      </c>
      <c r="B131" s="2" t="s">
        <v>363</v>
      </c>
      <c r="C131" s="3">
        <v>192</v>
      </c>
      <c r="D131" s="3">
        <v>388</v>
      </c>
      <c r="E131" s="8">
        <v>580</v>
      </c>
      <c r="F131" s="4">
        <v>497</v>
      </c>
      <c r="G131" s="12">
        <f>Tabela6[[#This Row],[Diplomados SED]]/Tabela6[[#This Row],[Total Concluintes 2024]]*100</f>
        <v>85.689655172413794</v>
      </c>
      <c r="H131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32" spans="1:8">
      <c r="A132" s="20">
        <v>161</v>
      </c>
      <c r="B132" s="2" t="s">
        <v>364</v>
      </c>
      <c r="C132" s="3">
        <v>34</v>
      </c>
      <c r="D132" s="3">
        <v>104</v>
      </c>
      <c r="E132" s="8">
        <v>138</v>
      </c>
      <c r="F132" s="4">
        <v>124</v>
      </c>
      <c r="G132" s="12">
        <f>Tabela6[[#This Row],[Diplomados SED]]/Tabela6[[#This Row],[Total Concluintes 2024]]*100</f>
        <v>89.85507246376811</v>
      </c>
      <c r="H132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33" spans="1:8">
      <c r="A133" s="22">
        <v>162</v>
      </c>
      <c r="B133" s="5" t="s">
        <v>365</v>
      </c>
      <c r="C133" s="3">
        <v>50</v>
      </c>
      <c r="D133" s="3">
        <v>105</v>
      </c>
      <c r="E133" s="8">
        <v>155</v>
      </c>
      <c r="F133" s="4">
        <v>145</v>
      </c>
      <c r="G133" s="12">
        <f>Tabela6[[#This Row],[Diplomados SED]]/Tabela6[[#This Row],[Total Concluintes 2024]]*100</f>
        <v>93.548387096774192</v>
      </c>
      <c r="H133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34" spans="1:8">
      <c r="A134" s="20">
        <v>164</v>
      </c>
      <c r="B134" s="2" t="s">
        <v>366</v>
      </c>
      <c r="C134" s="3">
        <v>87</v>
      </c>
      <c r="D134" s="3">
        <v>101</v>
      </c>
      <c r="E134" s="8">
        <v>188</v>
      </c>
      <c r="F134" s="4">
        <v>153</v>
      </c>
      <c r="G134" s="12">
        <f>Tabela6[[#This Row],[Diplomados SED]]/Tabela6[[#This Row],[Total Concluintes 2024]]*100</f>
        <v>81.38297872340425</v>
      </c>
      <c r="H134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35" spans="1:8">
      <c r="A135" s="20">
        <v>165</v>
      </c>
      <c r="B135" s="2" t="s">
        <v>367</v>
      </c>
      <c r="C135" s="3">
        <v>61</v>
      </c>
      <c r="D135" s="3">
        <v>240</v>
      </c>
      <c r="E135" s="8">
        <v>301</v>
      </c>
      <c r="F135" s="4">
        <v>270</v>
      </c>
      <c r="G135" s="12">
        <f>Tabela6[[#This Row],[Diplomados SED]]/Tabela6[[#This Row],[Total Concluintes 2024]]*100</f>
        <v>89.700996677740861</v>
      </c>
      <c r="H135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36" spans="1:8">
      <c r="A136" s="20">
        <v>166</v>
      </c>
      <c r="B136" s="2" t="s">
        <v>368</v>
      </c>
      <c r="C136" s="3">
        <v>295</v>
      </c>
      <c r="D136" s="3">
        <v>336</v>
      </c>
      <c r="E136" s="8">
        <v>631</v>
      </c>
      <c r="F136" s="4">
        <v>462</v>
      </c>
      <c r="G136" s="12">
        <f>Tabela6[[#This Row],[Diplomados SED]]/Tabela6[[#This Row],[Total Concluintes 2024]]*100</f>
        <v>73.217115689381927</v>
      </c>
      <c r="H136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0.8</v>
      </c>
    </row>
    <row r="137" spans="1:8">
      <c r="A137" s="20">
        <v>169</v>
      </c>
      <c r="B137" s="2" t="s">
        <v>369</v>
      </c>
      <c r="C137" s="3">
        <v>176</v>
      </c>
      <c r="D137" s="3">
        <v>328</v>
      </c>
      <c r="E137" s="8">
        <v>504</v>
      </c>
      <c r="F137" s="4">
        <v>337</v>
      </c>
      <c r="G137" s="12">
        <f>Tabela6[[#This Row],[Diplomados SED]]/Tabela6[[#This Row],[Total Concluintes 2024]]*100</f>
        <v>66.865079365079367</v>
      </c>
      <c r="H137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0.7</v>
      </c>
    </row>
    <row r="138" spans="1:8">
      <c r="A138" s="20">
        <v>170</v>
      </c>
      <c r="B138" s="2" t="s">
        <v>370</v>
      </c>
      <c r="C138" s="3">
        <v>94</v>
      </c>
      <c r="D138" s="3">
        <v>270</v>
      </c>
      <c r="E138" s="8">
        <v>364</v>
      </c>
      <c r="F138" s="4">
        <v>317</v>
      </c>
      <c r="G138" s="12">
        <f>Tabela6[[#This Row],[Diplomados SED]]/Tabela6[[#This Row],[Total Concluintes 2024]]*100</f>
        <v>87.087912087912088</v>
      </c>
      <c r="H138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39" spans="1:8">
      <c r="A139" s="20">
        <v>172</v>
      </c>
      <c r="B139" s="2" t="s">
        <v>371</v>
      </c>
      <c r="C139" s="3">
        <v>188</v>
      </c>
      <c r="D139" s="3">
        <v>352</v>
      </c>
      <c r="E139" s="8">
        <v>540</v>
      </c>
      <c r="F139" s="4">
        <v>386</v>
      </c>
      <c r="G139" s="12">
        <f>Tabela6[[#This Row],[Diplomados SED]]/Tabela6[[#This Row],[Total Concluintes 2024]]*100</f>
        <v>71.481481481481481</v>
      </c>
      <c r="H139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0.8</v>
      </c>
    </row>
    <row r="140" spans="1:8">
      <c r="A140" s="20">
        <v>179</v>
      </c>
      <c r="B140" s="2" t="s">
        <v>372</v>
      </c>
      <c r="C140" s="3">
        <v>80</v>
      </c>
      <c r="D140" s="3">
        <v>164</v>
      </c>
      <c r="E140" s="8">
        <v>244</v>
      </c>
      <c r="F140" s="4">
        <v>197</v>
      </c>
      <c r="G140" s="12">
        <f>Tabela6[[#This Row],[Diplomados SED]]/Tabela6[[#This Row],[Total Concluintes 2024]]*100</f>
        <v>80.737704918032776</v>
      </c>
      <c r="H140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41" spans="1:8">
      <c r="A141" s="20">
        <v>180</v>
      </c>
      <c r="B141" s="2" t="s">
        <v>373</v>
      </c>
      <c r="C141" s="3">
        <v>188</v>
      </c>
      <c r="D141" s="3">
        <v>214</v>
      </c>
      <c r="E141" s="8">
        <v>402</v>
      </c>
      <c r="F141" s="4">
        <v>352</v>
      </c>
      <c r="G141" s="12">
        <f>Tabela6[[#This Row],[Diplomados SED]]/Tabela6[[#This Row],[Total Concluintes 2024]]*100</f>
        <v>87.562189054726375</v>
      </c>
      <c r="H141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42" spans="1:8">
      <c r="A142" s="20">
        <v>181</v>
      </c>
      <c r="B142" s="2" t="s">
        <v>374</v>
      </c>
      <c r="C142" s="3">
        <v>125</v>
      </c>
      <c r="D142" s="3">
        <v>217</v>
      </c>
      <c r="E142" s="8">
        <v>342</v>
      </c>
      <c r="F142" s="4">
        <v>266</v>
      </c>
      <c r="G142" s="12">
        <f>Tabela6[[#This Row],[Diplomados SED]]/Tabela6[[#This Row],[Total Concluintes 2024]]*100</f>
        <v>77.777777777777786</v>
      </c>
      <c r="H142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0.8</v>
      </c>
    </row>
    <row r="143" spans="1:8">
      <c r="A143" s="20">
        <v>185</v>
      </c>
      <c r="B143" s="2" t="s">
        <v>375</v>
      </c>
      <c r="C143" s="3">
        <v>11</v>
      </c>
      <c r="D143" s="3">
        <v>210</v>
      </c>
      <c r="E143" s="8">
        <v>221</v>
      </c>
      <c r="F143" s="4">
        <v>208</v>
      </c>
      <c r="G143" s="12">
        <f>Tabela6[[#This Row],[Diplomados SED]]/Tabela6[[#This Row],[Total Concluintes 2024]]*100</f>
        <v>94.117647058823522</v>
      </c>
      <c r="H143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44" spans="1:8">
      <c r="A144" s="20">
        <v>186</v>
      </c>
      <c r="B144" s="2" t="s">
        <v>376</v>
      </c>
      <c r="C144" s="3">
        <v>75</v>
      </c>
      <c r="D144" s="3">
        <v>193</v>
      </c>
      <c r="E144" s="8">
        <v>268</v>
      </c>
      <c r="F144" s="4">
        <v>167</v>
      </c>
      <c r="G144" s="12">
        <f>Tabela6[[#This Row],[Diplomados SED]]/Tabela6[[#This Row],[Total Concluintes 2024]]*100</f>
        <v>62.31343283582089</v>
      </c>
      <c r="H144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0.7</v>
      </c>
    </row>
    <row r="145" spans="1:8">
      <c r="A145" s="20">
        <v>187</v>
      </c>
      <c r="B145" s="2" t="s">
        <v>377</v>
      </c>
      <c r="C145" s="3">
        <v>50</v>
      </c>
      <c r="D145" s="3">
        <v>197</v>
      </c>
      <c r="E145" s="8">
        <v>247</v>
      </c>
      <c r="F145" s="4">
        <v>228</v>
      </c>
      <c r="G145" s="12">
        <f>Tabela6[[#This Row],[Diplomados SED]]/Tabela6[[#This Row],[Total Concluintes 2024]]*100</f>
        <v>92.307692307692307</v>
      </c>
      <c r="H145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46" spans="1:8">
      <c r="A146" s="20">
        <v>188</v>
      </c>
      <c r="B146" s="2" t="s">
        <v>378</v>
      </c>
      <c r="C146" s="3">
        <v>0</v>
      </c>
      <c r="D146" s="3">
        <v>320</v>
      </c>
      <c r="E146" s="8">
        <v>320</v>
      </c>
      <c r="F146" s="4">
        <v>243</v>
      </c>
      <c r="G146" s="12">
        <f>Tabela6[[#This Row],[Diplomados SED]]/Tabela6[[#This Row],[Total Concluintes 2024]]*100</f>
        <v>75.9375</v>
      </c>
      <c r="H146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0.8</v>
      </c>
    </row>
    <row r="147" spans="1:8">
      <c r="A147" s="20">
        <v>190</v>
      </c>
      <c r="B147" s="2" t="s">
        <v>379</v>
      </c>
      <c r="C147" s="3">
        <v>148</v>
      </c>
      <c r="D147" s="3">
        <v>326</v>
      </c>
      <c r="E147" s="8">
        <v>474</v>
      </c>
      <c r="F147" s="4">
        <v>391</v>
      </c>
      <c r="G147" s="12">
        <f>Tabela6[[#This Row],[Diplomados SED]]/Tabela6[[#This Row],[Total Concluintes 2024]]*100</f>
        <v>82.489451476793249</v>
      </c>
      <c r="H147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48" spans="1:8">
      <c r="A148" s="20">
        <v>191</v>
      </c>
      <c r="B148" s="2" t="s">
        <v>380</v>
      </c>
      <c r="C148" s="3">
        <v>40</v>
      </c>
      <c r="D148" s="3">
        <v>168</v>
      </c>
      <c r="E148" s="8">
        <v>208</v>
      </c>
      <c r="F148" s="4">
        <v>186</v>
      </c>
      <c r="G148" s="12">
        <f>Tabela6[[#This Row],[Diplomados SED]]/Tabela6[[#This Row],[Total Concluintes 2024]]*100</f>
        <v>89.423076923076934</v>
      </c>
      <c r="H148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49" spans="1:8">
      <c r="A149" s="20">
        <v>193</v>
      </c>
      <c r="B149" s="2" t="s">
        <v>381</v>
      </c>
      <c r="C149" s="3">
        <v>119</v>
      </c>
      <c r="D149" s="3">
        <v>188</v>
      </c>
      <c r="E149" s="8">
        <v>307</v>
      </c>
      <c r="F149" s="4">
        <v>282</v>
      </c>
      <c r="G149" s="12">
        <f>Tabela6[[#This Row],[Diplomados SED]]/Tabela6[[#This Row],[Total Concluintes 2024]]*100</f>
        <v>91.856677524429969</v>
      </c>
      <c r="H149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50" spans="1:8">
      <c r="A150" s="22">
        <v>194</v>
      </c>
      <c r="B150" s="5" t="s">
        <v>382</v>
      </c>
      <c r="C150" s="3">
        <v>201</v>
      </c>
      <c r="D150" s="3">
        <v>253</v>
      </c>
      <c r="E150" s="8">
        <f>Tabela6[[#This Row],[Concluintes 1°Semestre /2024]]+Tabela6[[#This Row],[Concluintes 2/Semestre/2024]]</f>
        <v>454</v>
      </c>
      <c r="F150" s="3">
        <v>364</v>
      </c>
      <c r="G150" s="12">
        <f>Tabela6[[#This Row],[Diplomados SED]]/Tabela6[[#This Row],[Total Concluintes 2024]]*100</f>
        <v>80.1762114537445</v>
      </c>
      <c r="H150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51" spans="1:8">
      <c r="A151" s="20">
        <v>195</v>
      </c>
      <c r="B151" s="2" t="s">
        <v>383</v>
      </c>
      <c r="C151" s="3">
        <v>121</v>
      </c>
      <c r="D151" s="3">
        <v>186</v>
      </c>
      <c r="E151" s="8">
        <v>307</v>
      </c>
      <c r="F151" s="4">
        <v>253</v>
      </c>
      <c r="G151" s="12">
        <f>Tabela6[[#This Row],[Diplomados SED]]/Tabela6[[#This Row],[Total Concluintes 2024]]*100</f>
        <v>82.41042345276874</v>
      </c>
      <c r="H151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52" spans="1:8">
      <c r="A152" s="22">
        <v>197</v>
      </c>
      <c r="B152" s="5" t="s">
        <v>384</v>
      </c>
      <c r="C152" s="3">
        <v>16</v>
      </c>
      <c r="D152" s="3">
        <v>169</v>
      </c>
      <c r="E152" s="8">
        <v>185</v>
      </c>
      <c r="F152" s="4">
        <v>178</v>
      </c>
      <c r="G152" s="12">
        <f>Tabela6[[#This Row],[Diplomados SED]]/Tabela6[[#This Row],[Total Concluintes 2024]]*100</f>
        <v>96.216216216216225</v>
      </c>
      <c r="H152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53" spans="1:8">
      <c r="A153" s="20">
        <v>198</v>
      </c>
      <c r="B153" s="2" t="s">
        <v>385</v>
      </c>
      <c r="C153" s="3">
        <v>42</v>
      </c>
      <c r="D153" s="3">
        <v>160</v>
      </c>
      <c r="E153" s="8">
        <v>202</v>
      </c>
      <c r="F153" s="4">
        <v>188</v>
      </c>
      <c r="G153" s="12">
        <f>Tabela6[[#This Row],[Diplomados SED]]/Tabela6[[#This Row],[Total Concluintes 2024]]*100</f>
        <v>93.069306930693074</v>
      </c>
      <c r="H153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54" spans="1:8">
      <c r="A154" s="20">
        <v>199</v>
      </c>
      <c r="B154" s="2" t="s">
        <v>386</v>
      </c>
      <c r="C154" s="3">
        <v>234</v>
      </c>
      <c r="D154" s="3">
        <v>451</v>
      </c>
      <c r="E154" s="8">
        <v>685</v>
      </c>
      <c r="F154" s="4">
        <v>500</v>
      </c>
      <c r="G154" s="12">
        <f>Tabela6[[#This Row],[Diplomados SED]]/Tabela6[[#This Row],[Total Concluintes 2024]]*100</f>
        <v>72.992700729927009</v>
      </c>
      <c r="H154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0.8</v>
      </c>
    </row>
    <row r="155" spans="1:8">
      <c r="A155" s="20">
        <v>200</v>
      </c>
      <c r="B155" s="2" t="s">
        <v>387</v>
      </c>
      <c r="C155" s="3">
        <v>144</v>
      </c>
      <c r="D155" s="3">
        <v>279</v>
      </c>
      <c r="E155" s="8">
        <v>423</v>
      </c>
      <c r="F155" s="4">
        <v>351</v>
      </c>
      <c r="G155" s="12">
        <f>Tabela6[[#This Row],[Diplomados SED]]/Tabela6[[#This Row],[Total Concluintes 2024]]*100</f>
        <v>82.978723404255319</v>
      </c>
      <c r="H155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56" spans="1:8">
      <c r="A156" s="20">
        <v>201</v>
      </c>
      <c r="B156" s="2" t="s">
        <v>388</v>
      </c>
      <c r="C156" s="3">
        <v>152</v>
      </c>
      <c r="D156" s="3">
        <v>212</v>
      </c>
      <c r="E156" s="8">
        <v>364</v>
      </c>
      <c r="F156" s="4">
        <v>328</v>
      </c>
      <c r="G156" s="12">
        <f>Tabela6[[#This Row],[Diplomados SED]]/Tabela6[[#This Row],[Total Concluintes 2024]]*100</f>
        <v>90.109890109890117</v>
      </c>
      <c r="H156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57" spans="1:8">
      <c r="A157" s="20">
        <v>202</v>
      </c>
      <c r="B157" s="2" t="s">
        <v>389</v>
      </c>
      <c r="C157" s="3">
        <v>36</v>
      </c>
      <c r="D157" s="3">
        <v>140</v>
      </c>
      <c r="E157" s="8">
        <v>176</v>
      </c>
      <c r="F157" s="4">
        <v>173</v>
      </c>
      <c r="G157" s="12">
        <f>Tabela6[[#This Row],[Diplomados SED]]/Tabela6[[#This Row],[Total Concluintes 2024]]*100</f>
        <v>98.295454545454547</v>
      </c>
      <c r="H157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58" spans="1:8">
      <c r="A158" s="20">
        <v>203</v>
      </c>
      <c r="B158" s="2" t="s">
        <v>390</v>
      </c>
      <c r="C158" s="3">
        <v>0</v>
      </c>
      <c r="D158" s="3">
        <v>168</v>
      </c>
      <c r="E158" s="8">
        <v>168</v>
      </c>
      <c r="F158" s="4">
        <v>162</v>
      </c>
      <c r="G158" s="12">
        <f>Tabela6[[#This Row],[Diplomados SED]]/Tabela6[[#This Row],[Total Concluintes 2024]]*100</f>
        <v>96.428571428571431</v>
      </c>
      <c r="H158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59" spans="1:8">
      <c r="A159" s="22">
        <v>205</v>
      </c>
      <c r="B159" s="5" t="s">
        <v>391</v>
      </c>
      <c r="C159" s="3">
        <v>83</v>
      </c>
      <c r="D159" s="3">
        <v>336</v>
      </c>
      <c r="E159" s="8">
        <v>419</v>
      </c>
      <c r="F159" s="4">
        <v>374</v>
      </c>
      <c r="G159" s="12">
        <f>Tabela6[[#This Row],[Diplomados SED]]/Tabela6[[#This Row],[Total Concluintes 2024]]*100</f>
        <v>89.260143198090688</v>
      </c>
      <c r="H159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60" spans="1:8">
      <c r="A160" s="20">
        <v>206</v>
      </c>
      <c r="B160" s="2" t="s">
        <v>392</v>
      </c>
      <c r="C160" s="3">
        <v>44</v>
      </c>
      <c r="D160" s="3">
        <v>168</v>
      </c>
      <c r="E160" s="8">
        <v>212</v>
      </c>
      <c r="F160" s="4">
        <v>199</v>
      </c>
      <c r="G160" s="12">
        <f>Tabela6[[#This Row],[Diplomados SED]]/Tabela6[[#This Row],[Total Concluintes 2024]]*100</f>
        <v>93.867924528301884</v>
      </c>
      <c r="H160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61" spans="1:8">
      <c r="A161" s="20">
        <v>207</v>
      </c>
      <c r="B161" s="2" t="s">
        <v>393</v>
      </c>
      <c r="C161" s="3">
        <v>126</v>
      </c>
      <c r="D161" s="3">
        <v>327</v>
      </c>
      <c r="E161" s="8">
        <v>453</v>
      </c>
      <c r="F161" s="4">
        <v>387</v>
      </c>
      <c r="G161" s="12">
        <f>Tabela6[[#This Row],[Diplomados SED]]/Tabela6[[#This Row],[Total Concluintes 2024]]*100</f>
        <v>85.430463576158942</v>
      </c>
      <c r="H161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62" spans="1:8">
      <c r="A162" s="20">
        <v>208</v>
      </c>
      <c r="B162" s="2" t="s">
        <v>394</v>
      </c>
      <c r="C162" s="3">
        <v>139</v>
      </c>
      <c r="D162" s="3">
        <v>310</v>
      </c>
      <c r="E162" s="8">
        <v>449</v>
      </c>
      <c r="F162" s="4">
        <v>347</v>
      </c>
      <c r="G162" s="12">
        <f>Tabela6[[#This Row],[Diplomados SED]]/Tabela6[[#This Row],[Total Concluintes 2024]]*100</f>
        <v>77.282850779510028</v>
      </c>
      <c r="H162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0.8</v>
      </c>
    </row>
    <row r="163" spans="1:8">
      <c r="A163" s="20">
        <v>210</v>
      </c>
      <c r="B163" s="2" t="s">
        <v>395</v>
      </c>
      <c r="C163" s="3">
        <v>61</v>
      </c>
      <c r="D163" s="3">
        <v>213</v>
      </c>
      <c r="E163" s="8">
        <v>274</v>
      </c>
      <c r="F163" s="4">
        <v>227</v>
      </c>
      <c r="G163" s="12">
        <f>Tabela6[[#This Row],[Diplomados SED]]/Tabela6[[#This Row],[Total Concluintes 2024]]*100</f>
        <v>82.846715328467155</v>
      </c>
      <c r="H163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64" spans="1:8">
      <c r="A164" s="20">
        <v>211</v>
      </c>
      <c r="B164" s="2" t="s">
        <v>396</v>
      </c>
      <c r="C164" s="3">
        <v>191</v>
      </c>
      <c r="D164" s="3">
        <v>393</v>
      </c>
      <c r="E164" s="8">
        <v>584</v>
      </c>
      <c r="F164" s="4">
        <v>413</v>
      </c>
      <c r="G164" s="12">
        <f>Tabela6[[#This Row],[Diplomados SED]]/Tabela6[[#This Row],[Total Concluintes 2024]]*100</f>
        <v>70.719178082191775</v>
      </c>
      <c r="H164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0.8</v>
      </c>
    </row>
    <row r="165" spans="1:8">
      <c r="A165" s="20">
        <v>212</v>
      </c>
      <c r="B165" s="2" t="s">
        <v>397</v>
      </c>
      <c r="C165" s="3">
        <v>86</v>
      </c>
      <c r="D165" s="3">
        <v>138</v>
      </c>
      <c r="E165" s="8">
        <v>224</v>
      </c>
      <c r="F165" s="4">
        <v>218</v>
      </c>
      <c r="G165" s="12">
        <f>Tabela6[[#This Row],[Diplomados SED]]/Tabela6[[#This Row],[Total Concluintes 2024]]*100</f>
        <v>97.321428571428569</v>
      </c>
      <c r="H165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66" spans="1:8">
      <c r="A166" s="20">
        <v>213</v>
      </c>
      <c r="B166" s="2" t="s">
        <v>398</v>
      </c>
      <c r="C166" s="3">
        <v>103</v>
      </c>
      <c r="D166" s="3">
        <v>205</v>
      </c>
      <c r="E166" s="8">
        <v>308</v>
      </c>
      <c r="F166" s="4">
        <v>297</v>
      </c>
      <c r="G166" s="12">
        <f>Tabela6[[#This Row],[Diplomados SED]]/Tabela6[[#This Row],[Total Concluintes 2024]]*100</f>
        <v>96.428571428571431</v>
      </c>
      <c r="H166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67" spans="1:8">
      <c r="A167" s="20">
        <v>214</v>
      </c>
      <c r="B167" s="2" t="s">
        <v>399</v>
      </c>
      <c r="C167" s="3">
        <v>22</v>
      </c>
      <c r="D167" s="3">
        <v>127</v>
      </c>
      <c r="E167" s="8">
        <v>149</v>
      </c>
      <c r="F167" s="4">
        <v>132</v>
      </c>
      <c r="G167" s="12">
        <f>Tabela6[[#This Row],[Diplomados SED]]/Tabela6[[#This Row],[Total Concluintes 2024]]*100</f>
        <v>88.590604026845639</v>
      </c>
      <c r="H167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68" spans="1:8">
      <c r="A168" s="20">
        <v>215</v>
      </c>
      <c r="B168" s="2" t="s">
        <v>400</v>
      </c>
      <c r="C168" s="3">
        <v>29</v>
      </c>
      <c r="D168" s="3">
        <v>125</v>
      </c>
      <c r="E168" s="8">
        <v>154</v>
      </c>
      <c r="F168" s="4">
        <v>152</v>
      </c>
      <c r="G168" s="12">
        <f>Tabela6[[#This Row],[Diplomados SED]]/Tabela6[[#This Row],[Total Concluintes 2024]]*100</f>
        <v>98.701298701298697</v>
      </c>
      <c r="H168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69" spans="1:8">
      <c r="A169" s="20">
        <v>218</v>
      </c>
      <c r="B169" s="2" t="s">
        <v>401</v>
      </c>
      <c r="C169" s="3">
        <v>75</v>
      </c>
      <c r="D169" s="3">
        <v>154</v>
      </c>
      <c r="E169" s="8">
        <v>229</v>
      </c>
      <c r="F169" s="4">
        <v>218</v>
      </c>
      <c r="G169" s="12">
        <f>Tabela6[[#This Row],[Diplomados SED]]/Tabela6[[#This Row],[Total Concluintes 2024]]*100</f>
        <v>95.196506550218345</v>
      </c>
      <c r="H169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70" spans="1:8">
      <c r="A170" s="20">
        <v>219</v>
      </c>
      <c r="B170" s="2" t="s">
        <v>402</v>
      </c>
      <c r="C170" s="3">
        <v>68</v>
      </c>
      <c r="D170" s="3">
        <v>94</v>
      </c>
      <c r="E170" s="8">
        <v>162</v>
      </c>
      <c r="F170" s="4">
        <v>135</v>
      </c>
      <c r="G170" s="12">
        <f>Tabela6[[#This Row],[Diplomados SED]]/Tabela6[[#This Row],[Total Concluintes 2024]]*100</f>
        <v>83.333333333333343</v>
      </c>
      <c r="H170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71" spans="1:8">
      <c r="A171" s="20">
        <v>220</v>
      </c>
      <c r="B171" s="2" t="s">
        <v>403</v>
      </c>
      <c r="C171" s="3">
        <v>165</v>
      </c>
      <c r="D171" s="3">
        <v>413</v>
      </c>
      <c r="E171" s="8">
        <v>578</v>
      </c>
      <c r="F171" s="4">
        <v>567</v>
      </c>
      <c r="G171" s="12">
        <f>Tabela6[[#This Row],[Diplomados SED]]/Tabela6[[#This Row],[Total Concluintes 2024]]*100</f>
        <v>98.096885813148788</v>
      </c>
      <c r="H171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72" spans="1:8">
      <c r="A172" s="20">
        <v>221</v>
      </c>
      <c r="B172" s="2" t="s">
        <v>404</v>
      </c>
      <c r="C172" s="3">
        <v>192</v>
      </c>
      <c r="D172" s="3">
        <v>355</v>
      </c>
      <c r="E172" s="8">
        <v>547</v>
      </c>
      <c r="F172" s="4">
        <v>404</v>
      </c>
      <c r="G172" s="12">
        <f>Tabela6[[#This Row],[Diplomados SED]]/Tabela6[[#This Row],[Total Concluintes 2024]]*100</f>
        <v>73.857404021937839</v>
      </c>
      <c r="H172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0.8</v>
      </c>
    </row>
    <row r="173" spans="1:8">
      <c r="A173" s="20">
        <v>222</v>
      </c>
      <c r="B173" s="2" t="s">
        <v>405</v>
      </c>
      <c r="C173" s="3">
        <v>28</v>
      </c>
      <c r="D173" s="3">
        <v>210</v>
      </c>
      <c r="E173" s="8">
        <v>238</v>
      </c>
      <c r="F173" s="4">
        <v>211</v>
      </c>
      <c r="G173" s="12">
        <f>Tabela6[[#This Row],[Diplomados SED]]/Tabela6[[#This Row],[Total Concluintes 2024]]*100</f>
        <v>88.65546218487394</v>
      </c>
      <c r="H173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74" spans="1:8">
      <c r="A174" s="20">
        <v>223</v>
      </c>
      <c r="B174" s="2" t="s">
        <v>406</v>
      </c>
      <c r="C174" s="3">
        <v>0</v>
      </c>
      <c r="D174" s="3">
        <v>113</v>
      </c>
      <c r="E174" s="8">
        <v>113</v>
      </c>
      <c r="F174" s="4">
        <v>101</v>
      </c>
      <c r="G174" s="12">
        <f>Tabela6[[#This Row],[Diplomados SED]]/Tabela6[[#This Row],[Total Concluintes 2024]]*100</f>
        <v>89.380530973451329</v>
      </c>
      <c r="H174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75" spans="1:8">
      <c r="A175" s="20">
        <v>224</v>
      </c>
      <c r="B175" s="2" t="s">
        <v>407</v>
      </c>
      <c r="C175" s="3">
        <v>21</v>
      </c>
      <c r="D175" s="3">
        <v>172</v>
      </c>
      <c r="E175" s="8">
        <v>193</v>
      </c>
      <c r="F175" s="4">
        <v>169</v>
      </c>
      <c r="G175" s="12">
        <f>Tabela6[[#This Row],[Diplomados SED]]/Tabela6[[#This Row],[Total Concluintes 2024]]*100</f>
        <v>87.564766839378237</v>
      </c>
      <c r="H175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76" spans="1:8">
      <c r="A176" s="20">
        <v>225</v>
      </c>
      <c r="B176" s="2" t="s">
        <v>408</v>
      </c>
      <c r="C176" s="3">
        <v>75</v>
      </c>
      <c r="D176" s="3">
        <v>180</v>
      </c>
      <c r="E176" s="8">
        <v>255</v>
      </c>
      <c r="F176" s="4">
        <v>207</v>
      </c>
      <c r="G176" s="12">
        <f>Tabela6[[#This Row],[Diplomados SED]]/Tabela6[[#This Row],[Total Concluintes 2024]]*100</f>
        <v>81.17647058823529</v>
      </c>
      <c r="H176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77" spans="1:8">
      <c r="A177" s="20">
        <v>226</v>
      </c>
      <c r="B177" s="2" t="s">
        <v>409</v>
      </c>
      <c r="C177" s="3">
        <v>95</v>
      </c>
      <c r="D177" s="3">
        <v>227</v>
      </c>
      <c r="E177" s="8">
        <v>322</v>
      </c>
      <c r="F177" s="4">
        <v>299</v>
      </c>
      <c r="G177" s="12">
        <f>Tabela6[[#This Row],[Diplomados SED]]/Tabela6[[#This Row],[Total Concluintes 2024]]*100</f>
        <v>92.857142857142861</v>
      </c>
      <c r="H177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78" spans="1:8">
      <c r="A178" s="20">
        <v>227</v>
      </c>
      <c r="B178" s="2" t="s">
        <v>410</v>
      </c>
      <c r="C178" s="3">
        <v>106</v>
      </c>
      <c r="D178" s="3">
        <v>319</v>
      </c>
      <c r="E178" s="8">
        <v>425</v>
      </c>
      <c r="F178" s="4">
        <v>380</v>
      </c>
      <c r="G178" s="12">
        <f>Tabela6[[#This Row],[Diplomados SED]]/Tabela6[[#This Row],[Total Concluintes 2024]]*100</f>
        <v>89.411764705882362</v>
      </c>
      <c r="H178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79" spans="1:8">
      <c r="A179" s="20">
        <v>228</v>
      </c>
      <c r="B179" s="2" t="s">
        <v>411</v>
      </c>
      <c r="C179" s="3">
        <v>157</v>
      </c>
      <c r="D179" s="3">
        <v>330</v>
      </c>
      <c r="E179" s="8">
        <v>487</v>
      </c>
      <c r="F179" s="4">
        <v>386</v>
      </c>
      <c r="G179" s="12">
        <f>Tabela6[[#This Row],[Diplomados SED]]/Tabela6[[#This Row],[Total Concluintes 2024]]*100</f>
        <v>79.260780287474333</v>
      </c>
      <c r="H179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0.8</v>
      </c>
    </row>
    <row r="180" spans="1:8">
      <c r="A180" s="20">
        <v>229</v>
      </c>
      <c r="B180" s="2" t="s">
        <v>412</v>
      </c>
      <c r="C180" s="3">
        <v>83</v>
      </c>
      <c r="D180" s="3">
        <v>226</v>
      </c>
      <c r="E180" s="8">
        <v>309</v>
      </c>
      <c r="F180" s="4">
        <v>220</v>
      </c>
      <c r="G180" s="12">
        <f>Tabela6[[#This Row],[Diplomados SED]]/Tabela6[[#This Row],[Total Concluintes 2024]]*100</f>
        <v>71.19741100323624</v>
      </c>
      <c r="H180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0.8</v>
      </c>
    </row>
    <row r="181" spans="1:8">
      <c r="A181" s="20">
        <v>230</v>
      </c>
      <c r="B181" s="2" t="s">
        <v>413</v>
      </c>
      <c r="C181" s="3">
        <v>164</v>
      </c>
      <c r="D181" s="3">
        <v>270</v>
      </c>
      <c r="E181" s="8">
        <v>434</v>
      </c>
      <c r="F181" s="4">
        <v>391</v>
      </c>
      <c r="G181" s="12">
        <f>Tabela6[[#This Row],[Diplomados SED]]/Tabela6[[#This Row],[Total Concluintes 2024]]*100</f>
        <v>90.092165898617509</v>
      </c>
      <c r="H181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82" spans="1:8">
      <c r="A182" s="20">
        <v>231</v>
      </c>
      <c r="B182" s="2" t="s">
        <v>414</v>
      </c>
      <c r="C182" s="3">
        <v>34</v>
      </c>
      <c r="D182" s="3">
        <v>295</v>
      </c>
      <c r="E182" s="8">
        <v>329</v>
      </c>
      <c r="F182" s="4">
        <v>309</v>
      </c>
      <c r="G182" s="12">
        <f>Tabela6[[#This Row],[Diplomados SED]]/Tabela6[[#This Row],[Total Concluintes 2024]]*100</f>
        <v>93.920972644376903</v>
      </c>
      <c r="H182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83" spans="1:8">
      <c r="A183" s="20">
        <v>232</v>
      </c>
      <c r="B183" s="2" t="s">
        <v>415</v>
      </c>
      <c r="C183" s="3">
        <v>35</v>
      </c>
      <c r="D183" s="3">
        <v>187</v>
      </c>
      <c r="E183" s="8">
        <v>222</v>
      </c>
      <c r="F183" s="4">
        <v>222</v>
      </c>
      <c r="G183" s="12">
        <f>Tabela6[[#This Row],[Diplomados SED]]/Tabela6[[#This Row],[Total Concluintes 2024]]*100</f>
        <v>100</v>
      </c>
      <c r="H183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84" spans="1:8">
      <c r="A184" s="20">
        <v>233</v>
      </c>
      <c r="B184" s="2" t="s">
        <v>416</v>
      </c>
      <c r="C184" s="3">
        <v>100</v>
      </c>
      <c r="D184" s="3">
        <v>167</v>
      </c>
      <c r="E184" s="8">
        <v>267</v>
      </c>
      <c r="F184" s="4">
        <v>223</v>
      </c>
      <c r="G184" s="12">
        <f>Tabela6[[#This Row],[Diplomados SED]]/Tabela6[[#This Row],[Total Concluintes 2024]]*100</f>
        <v>83.520599250936328</v>
      </c>
      <c r="H184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85" spans="1:8">
      <c r="A185" s="20">
        <v>234</v>
      </c>
      <c r="B185" s="2" t="s">
        <v>417</v>
      </c>
      <c r="C185" s="3">
        <v>80</v>
      </c>
      <c r="D185" s="3">
        <v>256</v>
      </c>
      <c r="E185" s="8">
        <v>336</v>
      </c>
      <c r="F185" s="4">
        <v>314</v>
      </c>
      <c r="G185" s="12">
        <f>Tabela6[[#This Row],[Diplomados SED]]/Tabela6[[#This Row],[Total Concluintes 2024]]*100</f>
        <v>93.452380952380949</v>
      </c>
      <c r="H185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86" spans="1:8">
      <c r="A186" s="22">
        <v>235</v>
      </c>
      <c r="B186" s="5" t="s">
        <v>418</v>
      </c>
      <c r="C186" s="3">
        <v>115</v>
      </c>
      <c r="D186" s="3">
        <v>150</v>
      </c>
      <c r="E186" s="8">
        <v>265</v>
      </c>
      <c r="F186" s="4">
        <v>264</v>
      </c>
      <c r="G186" s="12">
        <f>Tabela6[[#This Row],[Diplomados SED]]/Tabela6[[#This Row],[Total Concluintes 2024]]*100</f>
        <v>99.622641509433961</v>
      </c>
      <c r="H186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87" spans="1:8">
      <c r="A187" s="20">
        <v>236</v>
      </c>
      <c r="B187" s="2" t="s">
        <v>419</v>
      </c>
      <c r="C187" s="3">
        <v>5</v>
      </c>
      <c r="D187" s="3">
        <v>124</v>
      </c>
      <c r="E187" s="8">
        <v>129</v>
      </c>
      <c r="F187" s="4">
        <v>121</v>
      </c>
      <c r="G187" s="12">
        <f>Tabela6[[#This Row],[Diplomados SED]]/Tabela6[[#This Row],[Total Concluintes 2024]]*100</f>
        <v>93.798449612403104</v>
      </c>
      <c r="H187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88" spans="1:8">
      <c r="A188" s="20">
        <v>237</v>
      </c>
      <c r="B188" s="2" t="s">
        <v>420</v>
      </c>
      <c r="C188" s="3">
        <v>22</v>
      </c>
      <c r="D188" s="3">
        <v>74</v>
      </c>
      <c r="E188" s="8">
        <v>96</v>
      </c>
      <c r="F188" s="4">
        <v>88</v>
      </c>
      <c r="G188" s="12">
        <f>Tabela6[[#This Row],[Diplomados SED]]/Tabela6[[#This Row],[Total Concluintes 2024]]*100</f>
        <v>91.666666666666657</v>
      </c>
      <c r="H188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89" spans="1:8">
      <c r="A189" s="20">
        <v>238</v>
      </c>
      <c r="B189" s="2" t="s">
        <v>421</v>
      </c>
      <c r="C189" s="3">
        <v>228</v>
      </c>
      <c r="D189" s="3">
        <v>332</v>
      </c>
      <c r="E189" s="8">
        <v>560</v>
      </c>
      <c r="F189" s="4">
        <v>445</v>
      </c>
      <c r="G189" s="12">
        <f>Tabela6[[#This Row],[Diplomados SED]]/Tabela6[[#This Row],[Total Concluintes 2024]]*100</f>
        <v>79.464285714285708</v>
      </c>
      <c r="H189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0.8</v>
      </c>
    </row>
    <row r="190" spans="1:8">
      <c r="A190" s="22">
        <v>239</v>
      </c>
      <c r="B190" s="5" t="s">
        <v>422</v>
      </c>
      <c r="C190" s="3">
        <v>16</v>
      </c>
      <c r="D190" s="3">
        <v>118</v>
      </c>
      <c r="E190" s="8">
        <v>134</v>
      </c>
      <c r="F190" s="4">
        <v>115</v>
      </c>
      <c r="G190" s="12">
        <f>Tabela6[[#This Row],[Diplomados SED]]/Tabela6[[#This Row],[Total Concluintes 2024]]*100</f>
        <v>85.820895522388057</v>
      </c>
      <c r="H190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91" spans="1:8">
      <c r="A191" s="20">
        <v>240</v>
      </c>
      <c r="B191" s="2" t="s">
        <v>423</v>
      </c>
      <c r="C191" s="3">
        <v>88</v>
      </c>
      <c r="D191" s="3">
        <v>289</v>
      </c>
      <c r="E191" s="8">
        <v>377</v>
      </c>
      <c r="F191" s="4">
        <v>362</v>
      </c>
      <c r="G191" s="12">
        <f>Tabela6[[#This Row],[Diplomados SED]]/Tabela6[[#This Row],[Total Concluintes 2024]]*100</f>
        <v>96.021220159151184</v>
      </c>
      <c r="H191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92" spans="1:8">
      <c r="A192" s="20">
        <v>241</v>
      </c>
      <c r="B192" s="2" t="s">
        <v>424</v>
      </c>
      <c r="C192" s="3">
        <v>172</v>
      </c>
      <c r="D192" s="3">
        <v>219</v>
      </c>
      <c r="E192" s="8">
        <v>391</v>
      </c>
      <c r="F192" s="4">
        <v>349</v>
      </c>
      <c r="G192" s="12">
        <f>Tabela6[[#This Row],[Diplomados SED]]/Tabela6[[#This Row],[Total Concluintes 2024]]*100</f>
        <v>89.258312020460366</v>
      </c>
      <c r="H192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193" spans="1:8">
      <c r="A193" s="20">
        <v>242</v>
      </c>
      <c r="B193" s="2" t="s">
        <v>425</v>
      </c>
      <c r="C193" s="3">
        <v>82</v>
      </c>
      <c r="D193" s="3">
        <v>256</v>
      </c>
      <c r="E193" s="8">
        <v>338</v>
      </c>
      <c r="F193" s="4">
        <v>323</v>
      </c>
      <c r="G193" s="12">
        <f>Tabela6[[#This Row],[Diplomados SED]]/Tabela6[[#This Row],[Total Concluintes 2024]]*100</f>
        <v>95.562130177514788</v>
      </c>
      <c r="H193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94" spans="1:8">
      <c r="A194" s="20">
        <v>243</v>
      </c>
      <c r="B194" s="2" t="s">
        <v>426</v>
      </c>
      <c r="C194" s="3">
        <v>19</v>
      </c>
      <c r="D194" s="3">
        <v>106</v>
      </c>
      <c r="E194" s="8">
        <v>125</v>
      </c>
      <c r="F194" s="4">
        <v>121</v>
      </c>
      <c r="G194" s="12">
        <f>Tabela6[[#This Row],[Diplomados SED]]/Tabela6[[#This Row],[Total Concluintes 2024]]*100</f>
        <v>96.8</v>
      </c>
      <c r="H194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95" spans="1:8">
      <c r="A195" s="22">
        <v>244</v>
      </c>
      <c r="B195" s="5" t="s">
        <v>427</v>
      </c>
      <c r="C195" s="3">
        <v>74</v>
      </c>
      <c r="D195" s="3">
        <v>163</v>
      </c>
      <c r="E195" s="8">
        <v>237</v>
      </c>
      <c r="F195" s="4">
        <v>226</v>
      </c>
      <c r="G195" s="12">
        <f>Tabela6[[#This Row],[Diplomados SED]]/Tabela6[[#This Row],[Total Concluintes 2024]]*100</f>
        <v>95.358649789029542</v>
      </c>
      <c r="H195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96" spans="1:8">
      <c r="A196" s="20">
        <v>245</v>
      </c>
      <c r="B196" s="2" t="s">
        <v>428</v>
      </c>
      <c r="C196" s="3">
        <v>139</v>
      </c>
      <c r="D196" s="3">
        <v>252</v>
      </c>
      <c r="E196" s="8">
        <v>391</v>
      </c>
      <c r="F196" s="4">
        <v>309</v>
      </c>
      <c r="G196" s="12">
        <f>Tabela6[[#This Row],[Diplomados SED]]/Tabela6[[#This Row],[Total Concluintes 2024]]*100</f>
        <v>79.028132992327372</v>
      </c>
      <c r="H196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0.8</v>
      </c>
    </row>
    <row r="197" spans="1:8">
      <c r="A197" s="22">
        <v>246</v>
      </c>
      <c r="B197" s="5" t="s">
        <v>429</v>
      </c>
      <c r="C197" s="3">
        <v>72</v>
      </c>
      <c r="D197" s="3">
        <v>97</v>
      </c>
      <c r="E197" s="8">
        <v>169</v>
      </c>
      <c r="F197" s="4">
        <v>155</v>
      </c>
      <c r="G197" s="12">
        <f>Tabela6[[#This Row],[Diplomados SED]]/Tabela6[[#This Row],[Total Concluintes 2024]]*100</f>
        <v>91.715976331360949</v>
      </c>
      <c r="H197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98" spans="1:8">
      <c r="A198" s="20">
        <v>247</v>
      </c>
      <c r="B198" s="2" t="s">
        <v>430</v>
      </c>
      <c r="C198" s="3">
        <v>101</v>
      </c>
      <c r="D198" s="3">
        <v>239</v>
      </c>
      <c r="E198" s="8">
        <v>340</v>
      </c>
      <c r="F198" s="4">
        <v>319</v>
      </c>
      <c r="G198" s="12">
        <f>Tabela6[[#This Row],[Diplomados SED]]/Tabela6[[#This Row],[Total Concluintes 2024]]*100</f>
        <v>93.82352941176471</v>
      </c>
      <c r="H198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199" spans="1:8">
      <c r="A199" s="22">
        <v>248</v>
      </c>
      <c r="B199" s="5" t="s">
        <v>431</v>
      </c>
      <c r="C199" s="3">
        <v>40</v>
      </c>
      <c r="D199" s="3">
        <v>98</v>
      </c>
      <c r="E199" s="8">
        <v>138</v>
      </c>
      <c r="F199" s="4">
        <v>134</v>
      </c>
      <c r="G199" s="12">
        <f>Tabela6[[#This Row],[Diplomados SED]]/Tabela6[[#This Row],[Total Concluintes 2024]]*100</f>
        <v>97.101449275362313</v>
      </c>
      <c r="H199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200" spans="1:8">
      <c r="A200" s="20">
        <v>249</v>
      </c>
      <c r="B200" s="2" t="s">
        <v>432</v>
      </c>
      <c r="C200" s="3">
        <v>55</v>
      </c>
      <c r="D200" s="3">
        <v>213</v>
      </c>
      <c r="E200" s="8">
        <v>268</v>
      </c>
      <c r="F200" s="4">
        <v>230</v>
      </c>
      <c r="G200" s="12">
        <f>Tabela6[[#This Row],[Diplomados SED]]/Tabela6[[#This Row],[Total Concluintes 2024]]*100</f>
        <v>85.820895522388057</v>
      </c>
      <c r="H200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201" spans="1:8">
      <c r="A201" s="20">
        <v>252</v>
      </c>
      <c r="B201" s="2" t="s">
        <v>433</v>
      </c>
      <c r="C201" s="3">
        <v>51</v>
      </c>
      <c r="D201" s="3">
        <v>245</v>
      </c>
      <c r="E201" s="8">
        <v>296</v>
      </c>
      <c r="F201" s="4">
        <v>250</v>
      </c>
      <c r="G201" s="12">
        <f>Tabela6[[#This Row],[Diplomados SED]]/Tabela6[[#This Row],[Total Concluintes 2024]]*100</f>
        <v>84.459459459459467</v>
      </c>
      <c r="H201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202" spans="1:8">
      <c r="A202" s="22">
        <v>253</v>
      </c>
      <c r="B202" s="5" t="s">
        <v>434</v>
      </c>
      <c r="C202" s="3">
        <v>44</v>
      </c>
      <c r="D202" s="3">
        <v>185</v>
      </c>
      <c r="E202" s="8">
        <v>229</v>
      </c>
      <c r="F202" s="4">
        <v>212</v>
      </c>
      <c r="G202" s="12">
        <f>Tabela6[[#This Row],[Diplomados SED]]/Tabela6[[#This Row],[Total Concluintes 2024]]*100</f>
        <v>92.576419213973807</v>
      </c>
      <c r="H202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203" spans="1:8">
      <c r="A203" s="20">
        <v>254</v>
      </c>
      <c r="B203" s="2" t="s">
        <v>435</v>
      </c>
      <c r="C203" s="3">
        <v>112</v>
      </c>
      <c r="D203" s="3">
        <v>223</v>
      </c>
      <c r="E203" s="8">
        <v>335</v>
      </c>
      <c r="F203" s="4">
        <v>299</v>
      </c>
      <c r="G203" s="12">
        <f>Tabela6[[#This Row],[Diplomados SED]]/Tabela6[[#This Row],[Total Concluintes 2024]]*100</f>
        <v>89.253731343283576</v>
      </c>
      <c r="H203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204" spans="1:8">
      <c r="A204" s="20">
        <v>255</v>
      </c>
      <c r="B204" s="2" t="s">
        <v>436</v>
      </c>
      <c r="C204" s="3">
        <v>17</v>
      </c>
      <c r="D204" s="3">
        <v>149</v>
      </c>
      <c r="E204" s="8">
        <v>166</v>
      </c>
      <c r="F204" s="4">
        <v>159</v>
      </c>
      <c r="G204" s="12">
        <f>Tabela6[[#This Row],[Diplomados SED]]/Tabela6[[#This Row],[Total Concluintes 2024]]*100</f>
        <v>95.783132530120483</v>
      </c>
      <c r="H204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205" spans="1:8">
      <c r="A205" s="20">
        <v>256</v>
      </c>
      <c r="B205" s="2" t="s">
        <v>437</v>
      </c>
      <c r="C205" s="3">
        <v>18</v>
      </c>
      <c r="D205" s="3">
        <v>233</v>
      </c>
      <c r="E205" s="8">
        <v>251</v>
      </c>
      <c r="F205" s="4">
        <v>238</v>
      </c>
      <c r="G205" s="12">
        <f>Tabela6[[#This Row],[Diplomados SED]]/Tabela6[[#This Row],[Total Concluintes 2024]]*100</f>
        <v>94.820717131474112</v>
      </c>
      <c r="H205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206" spans="1:8">
      <c r="A206" s="20">
        <v>260</v>
      </c>
      <c r="B206" s="2" t="s">
        <v>438</v>
      </c>
      <c r="C206" s="3">
        <v>48</v>
      </c>
      <c r="D206" s="3">
        <v>240</v>
      </c>
      <c r="E206" s="8">
        <v>288</v>
      </c>
      <c r="F206" s="4">
        <v>240</v>
      </c>
      <c r="G206" s="12">
        <f>Tabela6[[#This Row],[Diplomados SED]]/Tabela6[[#This Row],[Total Concluintes 2024]]*100</f>
        <v>83.333333333333343</v>
      </c>
      <c r="H206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207" spans="1:8">
      <c r="A207" s="20">
        <v>261</v>
      </c>
      <c r="B207" s="2" t="s">
        <v>439</v>
      </c>
      <c r="C207" s="3">
        <v>92</v>
      </c>
      <c r="D207" s="3">
        <v>209</v>
      </c>
      <c r="E207" s="8">
        <v>301</v>
      </c>
      <c r="F207" s="4">
        <v>289</v>
      </c>
      <c r="G207" s="12">
        <f>Tabela6[[#This Row],[Diplomados SED]]/Tabela6[[#This Row],[Total Concluintes 2024]]*100</f>
        <v>96.013289036544847</v>
      </c>
      <c r="H207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208" spans="1:8">
      <c r="A208" s="20">
        <v>262</v>
      </c>
      <c r="B208" s="2" t="s">
        <v>440</v>
      </c>
      <c r="C208" s="3">
        <v>87</v>
      </c>
      <c r="D208" s="3">
        <v>207</v>
      </c>
      <c r="E208" s="8">
        <v>294</v>
      </c>
      <c r="F208" s="4">
        <v>273</v>
      </c>
      <c r="G208" s="12">
        <f>Tabela6[[#This Row],[Diplomados SED]]/Tabela6[[#This Row],[Total Concluintes 2024]]*100</f>
        <v>92.857142857142861</v>
      </c>
      <c r="H208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209" spans="1:8">
      <c r="A209" s="22">
        <v>263</v>
      </c>
      <c r="B209" s="5" t="s">
        <v>441</v>
      </c>
      <c r="C209" s="3">
        <v>29</v>
      </c>
      <c r="D209" s="3">
        <v>91</v>
      </c>
      <c r="E209" s="8">
        <v>120</v>
      </c>
      <c r="F209" s="4">
        <v>109</v>
      </c>
      <c r="G209" s="12">
        <f>Tabela6[[#This Row],[Diplomados SED]]/Tabela6[[#This Row],[Total Concluintes 2024]]*100</f>
        <v>90.833333333333329</v>
      </c>
      <c r="H209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210" spans="1:8">
      <c r="A210" s="22">
        <v>264</v>
      </c>
      <c r="B210" s="5" t="s">
        <v>442</v>
      </c>
      <c r="C210" s="3">
        <v>106</v>
      </c>
      <c r="D210" s="3">
        <v>150</v>
      </c>
      <c r="E210" s="8">
        <v>256</v>
      </c>
      <c r="F210" s="4">
        <v>236</v>
      </c>
      <c r="G210" s="12">
        <f>Tabela6[[#This Row],[Diplomados SED]]/Tabela6[[#This Row],[Total Concluintes 2024]]*100</f>
        <v>92.1875</v>
      </c>
      <c r="H210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211" spans="1:8">
      <c r="A211" s="20">
        <v>266</v>
      </c>
      <c r="B211" s="2" t="s">
        <v>443</v>
      </c>
      <c r="C211" s="3">
        <v>45</v>
      </c>
      <c r="D211" s="3">
        <v>191</v>
      </c>
      <c r="E211" s="8">
        <v>236</v>
      </c>
      <c r="F211" s="4">
        <v>203</v>
      </c>
      <c r="G211" s="12">
        <f>Tabela6[[#This Row],[Diplomados SED]]/Tabela6[[#This Row],[Total Concluintes 2024]]*100</f>
        <v>86.016949152542381</v>
      </c>
      <c r="H211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212" spans="1:8">
      <c r="A212" s="20">
        <v>267</v>
      </c>
      <c r="B212" s="2" t="s">
        <v>444</v>
      </c>
      <c r="C212" s="3">
        <v>40</v>
      </c>
      <c r="D212" s="3">
        <v>20</v>
      </c>
      <c r="E212" s="8">
        <v>60</v>
      </c>
      <c r="F212" s="4">
        <v>39</v>
      </c>
      <c r="G212" s="12">
        <f>Tabela6[[#This Row],[Diplomados SED]]/Tabela6[[#This Row],[Total Concluintes 2024]]*100</f>
        <v>65</v>
      </c>
      <c r="H212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0.7</v>
      </c>
    </row>
    <row r="213" spans="1:8">
      <c r="A213" s="20">
        <v>268</v>
      </c>
      <c r="B213" s="2" t="s">
        <v>445</v>
      </c>
      <c r="C213" s="3">
        <v>46</v>
      </c>
      <c r="D213" s="3">
        <v>190</v>
      </c>
      <c r="E213" s="8">
        <v>236</v>
      </c>
      <c r="F213" s="4">
        <v>211</v>
      </c>
      <c r="G213" s="12">
        <f>Tabela6[[#This Row],[Diplomados SED]]/Tabela6[[#This Row],[Total Concluintes 2024]]*100</f>
        <v>89.406779661016941</v>
      </c>
      <c r="H213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214" spans="1:8">
      <c r="A214" s="22">
        <v>271</v>
      </c>
      <c r="B214" s="5" t="s">
        <v>446</v>
      </c>
      <c r="C214" s="3">
        <v>24</v>
      </c>
      <c r="D214" s="3">
        <v>114</v>
      </c>
      <c r="E214" s="8">
        <v>138</v>
      </c>
      <c r="F214" s="4">
        <v>132</v>
      </c>
      <c r="G214" s="12">
        <f>Tabela6[[#This Row],[Diplomados SED]]/Tabela6[[#This Row],[Total Concluintes 2024]]*100</f>
        <v>95.652173913043484</v>
      </c>
      <c r="H214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215" spans="1:8">
      <c r="A215" s="22">
        <v>273</v>
      </c>
      <c r="B215" s="5" t="s">
        <v>447</v>
      </c>
      <c r="C215" s="3">
        <v>17</v>
      </c>
      <c r="D215" s="3">
        <v>76</v>
      </c>
      <c r="E215" s="8">
        <v>93</v>
      </c>
      <c r="F215" s="4">
        <v>83</v>
      </c>
      <c r="G215" s="12">
        <f>Tabela6[[#This Row],[Diplomados SED]]/Tabela6[[#This Row],[Total Concluintes 2024]]*100</f>
        <v>89.247311827956992</v>
      </c>
      <c r="H215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216" spans="1:8">
      <c r="A216" s="20">
        <v>274</v>
      </c>
      <c r="B216" s="2" t="s">
        <v>448</v>
      </c>
      <c r="C216" s="3">
        <v>121</v>
      </c>
      <c r="D216" s="3">
        <v>187</v>
      </c>
      <c r="E216" s="8">
        <v>308</v>
      </c>
      <c r="F216" s="4">
        <v>215</v>
      </c>
      <c r="G216" s="12">
        <f>Tabela6[[#This Row],[Diplomados SED]]/Tabela6[[#This Row],[Total Concluintes 2024]]*100</f>
        <v>69.805194805194802</v>
      </c>
      <c r="H216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0.7</v>
      </c>
    </row>
    <row r="217" spans="1:8">
      <c r="A217" s="20">
        <v>277</v>
      </c>
      <c r="B217" s="2" t="s">
        <v>449</v>
      </c>
      <c r="C217" s="3">
        <v>50</v>
      </c>
      <c r="D217" s="3">
        <v>75</v>
      </c>
      <c r="E217" s="8">
        <v>125</v>
      </c>
      <c r="F217" s="4">
        <v>123</v>
      </c>
      <c r="G217" s="12">
        <f>Tabela6[[#This Row],[Diplomados SED]]/Tabela6[[#This Row],[Total Concluintes 2024]]*100</f>
        <v>98.4</v>
      </c>
      <c r="H217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218" spans="1:8">
      <c r="A218" s="20">
        <v>279</v>
      </c>
      <c r="B218" s="2" t="s">
        <v>450</v>
      </c>
      <c r="C218" s="3">
        <v>27</v>
      </c>
      <c r="D218" s="3">
        <v>124</v>
      </c>
      <c r="E218" s="8">
        <v>151</v>
      </c>
      <c r="F218" s="4">
        <v>131</v>
      </c>
      <c r="G218" s="12">
        <f>Tabela6[[#This Row],[Diplomados SED]]/Tabela6[[#This Row],[Total Concluintes 2024]]*100</f>
        <v>86.754966887417211</v>
      </c>
      <c r="H218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219" spans="1:8">
      <c r="A219" s="22">
        <v>281</v>
      </c>
      <c r="B219" s="5" t="s">
        <v>451</v>
      </c>
      <c r="C219" s="3">
        <v>0</v>
      </c>
      <c r="D219" s="3">
        <v>64</v>
      </c>
      <c r="E219" s="8">
        <v>64</v>
      </c>
      <c r="F219" s="4">
        <v>63</v>
      </c>
      <c r="G219" s="12">
        <f>Tabela6[[#This Row],[Diplomados SED]]/Tabela6[[#This Row],[Total Concluintes 2024]]*100</f>
        <v>98.4375</v>
      </c>
      <c r="H219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220" spans="1:8">
      <c r="A220" s="20">
        <v>282</v>
      </c>
      <c r="B220" s="2" t="s">
        <v>452</v>
      </c>
      <c r="C220" s="3">
        <v>18</v>
      </c>
      <c r="D220" s="3">
        <v>166</v>
      </c>
      <c r="E220" s="8">
        <v>184</v>
      </c>
      <c r="F220" s="4">
        <v>183</v>
      </c>
      <c r="G220" s="12">
        <f>Tabela6[[#This Row],[Diplomados SED]]/Tabela6[[#This Row],[Total Concluintes 2024]]*100</f>
        <v>99.456521739130437</v>
      </c>
      <c r="H220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221" spans="1:8">
      <c r="A221" s="20">
        <v>285</v>
      </c>
      <c r="B221" s="2" t="s">
        <v>453</v>
      </c>
      <c r="C221" s="3">
        <v>85</v>
      </c>
      <c r="D221" s="3">
        <v>309</v>
      </c>
      <c r="E221" s="8">
        <v>394</v>
      </c>
      <c r="F221" s="4">
        <v>304</v>
      </c>
      <c r="G221" s="12">
        <f>Tabela6[[#This Row],[Diplomados SED]]/Tabela6[[#This Row],[Total Concluintes 2024]]*100</f>
        <v>77.157360406091371</v>
      </c>
      <c r="H221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0.8</v>
      </c>
    </row>
    <row r="222" spans="1:8">
      <c r="A222" s="20">
        <v>287</v>
      </c>
      <c r="B222" s="2" t="s">
        <v>454</v>
      </c>
      <c r="C222" s="3">
        <v>48</v>
      </c>
      <c r="D222" s="3">
        <v>64</v>
      </c>
      <c r="E222" s="8">
        <v>112</v>
      </c>
      <c r="F222" s="4">
        <v>111</v>
      </c>
      <c r="G222" s="12">
        <f>Tabela6[[#This Row],[Diplomados SED]]/Tabela6[[#This Row],[Total Concluintes 2024]]*100</f>
        <v>99.107142857142861</v>
      </c>
      <c r="H222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223" spans="1:8">
      <c r="A223" s="22">
        <v>289</v>
      </c>
      <c r="B223" s="5" t="s">
        <v>455</v>
      </c>
      <c r="C223" s="3">
        <v>55</v>
      </c>
      <c r="D223" s="3">
        <v>121</v>
      </c>
      <c r="E223" s="8">
        <v>176</v>
      </c>
      <c r="F223" s="4">
        <v>65</v>
      </c>
      <c r="G223" s="12">
        <f>Tabela6[[#This Row],[Diplomados SED]]/Tabela6[[#This Row],[Total Concluintes 2024]]*100</f>
        <v>36.93181818181818</v>
      </c>
      <c r="H223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</v>
      </c>
    </row>
    <row r="224" spans="1:8">
      <c r="A224" s="22">
        <v>293</v>
      </c>
      <c r="B224" s="5" t="s">
        <v>456</v>
      </c>
      <c r="C224" s="3">
        <v>31</v>
      </c>
      <c r="D224" s="3">
        <v>98</v>
      </c>
      <c r="E224" s="8">
        <v>129</v>
      </c>
      <c r="F224" s="4">
        <v>112</v>
      </c>
      <c r="G224" s="12">
        <f>Tabela6[[#This Row],[Diplomados SED]]/Tabela6[[#This Row],[Total Concluintes 2024]]*100</f>
        <v>86.821705426356587</v>
      </c>
      <c r="H224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0.9</v>
      </c>
    </row>
    <row r="225" spans="1:8">
      <c r="A225" s="20">
        <v>295</v>
      </c>
      <c r="B225" s="2" t="s">
        <v>457</v>
      </c>
      <c r="C225" s="3">
        <v>56</v>
      </c>
      <c r="D225" s="3">
        <v>173</v>
      </c>
      <c r="E225" s="8">
        <v>229</v>
      </c>
      <c r="F225" s="4">
        <v>172</v>
      </c>
      <c r="G225" s="12">
        <f>Tabela6[[#This Row],[Diplomados SED]]/Tabela6[[#This Row],[Total Concluintes 2024]]*100</f>
        <v>75.109170305676855</v>
      </c>
      <c r="H225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0.8</v>
      </c>
    </row>
    <row r="226" spans="1:8">
      <c r="A226" s="20">
        <v>300</v>
      </c>
      <c r="B226" s="2" t="s">
        <v>458</v>
      </c>
      <c r="C226" s="3">
        <v>79</v>
      </c>
      <c r="D226" s="3">
        <v>151</v>
      </c>
      <c r="E226" s="8">
        <v>230</v>
      </c>
      <c r="F226" s="4">
        <v>179</v>
      </c>
      <c r="G226" s="12">
        <f>Tabela6[[#This Row],[Diplomados SED]]/Tabela6[[#This Row],[Total Concluintes 2024]]*100</f>
        <v>77.826086956521735</v>
      </c>
      <c r="H226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0.8</v>
      </c>
    </row>
    <row r="227" spans="1:8">
      <c r="A227" s="115">
        <v>302</v>
      </c>
      <c r="B227" s="116" t="s">
        <v>459</v>
      </c>
      <c r="C227" s="117">
        <v>0</v>
      </c>
      <c r="D227" s="117">
        <v>26</v>
      </c>
      <c r="E227" s="117">
        <v>26</v>
      </c>
      <c r="F227" s="117">
        <v>15</v>
      </c>
      <c r="G227" s="12">
        <f>Tabela6[[#This Row],[Diplomados SED]]/Tabela6[[#This Row],[Total Concluintes 2024]]*100</f>
        <v>57.692307692307686</v>
      </c>
      <c r="H227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0.6</v>
      </c>
    </row>
    <row r="228" spans="1:8">
      <c r="A228" s="75">
        <v>303</v>
      </c>
      <c r="B228" s="76" t="s">
        <v>460</v>
      </c>
      <c r="C228" s="77"/>
      <c r="D228" s="77"/>
      <c r="E228" s="77"/>
      <c r="F228" s="77"/>
      <c r="G228" s="118"/>
      <c r="H228" s="119"/>
    </row>
    <row r="229" spans="1:8">
      <c r="A229" s="115">
        <v>304</v>
      </c>
      <c r="B229" s="116" t="s">
        <v>461</v>
      </c>
      <c r="C229" s="117">
        <v>0</v>
      </c>
      <c r="D229" s="117">
        <v>51</v>
      </c>
      <c r="E229" s="117">
        <v>51</v>
      </c>
      <c r="F229" s="117">
        <v>51</v>
      </c>
      <c r="G229" s="12">
        <f>Tabela6[[#This Row],[Diplomados SED]]/Tabela6[[#This Row],[Total Concluintes 2024]]*100</f>
        <v>100</v>
      </c>
      <c r="H229" s="45">
        <f>IF(Tabela6[[#This Row],[CALCULO DO ICM]]&gt;=90, 100%, IF(Tabela6[[#This Row],[CALCULO DO ICM]]&gt;=80, 90%, IF(Tabela6[[#This Row],[CALCULO DO ICM]]&gt;=70, 80%, IF(Tabela6[[#This Row],[CALCULO DO ICM]]&gt;=60, 70%,IF(Tabela6[[#This Row],[CALCULO DO ICM]]&gt;=50,60%, 0)))))</f>
        <v>1</v>
      </c>
    </row>
    <row r="230" spans="1:8">
      <c r="A230" s="78">
        <v>306</v>
      </c>
      <c r="B230" s="79" t="s">
        <v>462</v>
      </c>
      <c r="C230" s="77"/>
      <c r="D230" s="77"/>
      <c r="E230" s="77"/>
      <c r="F230" s="77"/>
      <c r="G230" s="118"/>
      <c r="H230" s="119"/>
    </row>
  </sheetData>
  <mergeCells count="1">
    <mergeCell ref="A1:H1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03B29-0190-4C07-8700-B97E3556DD7B}">
  <sheetPr>
    <tabColor theme="9" tint="0.39997558519241921"/>
  </sheetPr>
  <dimension ref="A1:I226"/>
  <sheetViews>
    <sheetView showGridLines="0" workbookViewId="0">
      <selection activeCell="I19" sqref="I19"/>
    </sheetView>
  </sheetViews>
  <sheetFormatPr defaultRowHeight="15"/>
  <cols>
    <col min="2" max="2" width="47.85546875" style="120" bestFit="1" customWidth="1"/>
    <col min="3" max="4" width="15" customWidth="1"/>
    <col min="5" max="5" width="18.42578125" customWidth="1"/>
    <col min="6" max="6" width="13.85546875" customWidth="1"/>
    <col min="7" max="8" width="16.140625" customWidth="1"/>
    <col min="9" max="9" width="10.28515625" customWidth="1"/>
  </cols>
  <sheetData>
    <row r="1" spans="1:9" s="506" customFormat="1" ht="47.25">
      <c r="A1" s="501" t="s">
        <v>572</v>
      </c>
      <c r="B1" s="502" t="s">
        <v>1</v>
      </c>
      <c r="C1" s="502" t="s">
        <v>579</v>
      </c>
      <c r="D1" s="502" t="s">
        <v>574</v>
      </c>
      <c r="E1" s="503" t="s">
        <v>575</v>
      </c>
      <c r="F1" s="504" t="s">
        <v>573</v>
      </c>
      <c r="G1" s="505" t="s">
        <v>576</v>
      </c>
      <c r="H1" s="505" t="s">
        <v>580</v>
      </c>
    </row>
    <row r="2" spans="1:9">
      <c r="A2" s="37">
        <v>6</v>
      </c>
      <c r="B2" s="508" t="s">
        <v>160</v>
      </c>
      <c r="C2" s="49">
        <v>1497.5</v>
      </c>
      <c r="D2" s="50">
        <v>0.73849837803320773</v>
      </c>
      <c r="E2" s="81">
        <f>Tabela18[[#This Row],[Total de Alunos]]*Tabela18[[#This Row],[IACM Unidades]]</f>
        <v>1105.9013211047286</v>
      </c>
      <c r="F2" s="33">
        <f>SUM(Tabela18[Total de Alunos])</f>
        <v>183618</v>
      </c>
      <c r="G2" s="34">
        <f>SUM(Tabela18[IACM Ponderado-Nº  Alunos])</f>
        <v>153483.78744855977</v>
      </c>
      <c r="H2" s="35">
        <f>TRUNC(G2/F2,4)</f>
        <v>0.83579999999999999</v>
      </c>
    </row>
    <row r="3" spans="1:9">
      <c r="A3" s="38">
        <v>7</v>
      </c>
      <c r="B3" s="509" t="s">
        <v>64</v>
      </c>
      <c r="C3" s="51">
        <v>1136.5</v>
      </c>
      <c r="D3" s="52">
        <v>0.75538432296699765</v>
      </c>
      <c r="E3" s="81">
        <f>Tabela18[[#This Row],[Total de Alunos]]*Tabela18[[#This Row],[IACM Unidades]]</f>
        <v>858.49428305199285</v>
      </c>
      <c r="F3" s="25"/>
      <c r="G3" s="25"/>
      <c r="H3" s="25"/>
    </row>
    <row r="4" spans="1:9">
      <c r="A4" s="38">
        <v>8</v>
      </c>
      <c r="B4" s="510" t="s">
        <v>60</v>
      </c>
      <c r="C4" s="51">
        <v>1479.5</v>
      </c>
      <c r="D4" s="52">
        <v>0.79259660958484535</v>
      </c>
      <c r="E4" s="507">
        <f>Tabela18[[#This Row],[Total de Alunos]]*Tabela18[[#This Row],[IACM Unidades]]</f>
        <v>1172.6466838807787</v>
      </c>
      <c r="F4" s="179" t="s">
        <v>581</v>
      </c>
      <c r="G4" s="179"/>
      <c r="H4" s="179"/>
      <c r="I4" s="181" t="s">
        <v>609</v>
      </c>
    </row>
    <row r="5" spans="1:9">
      <c r="A5" s="39">
        <v>9</v>
      </c>
      <c r="B5" s="509" t="s">
        <v>57</v>
      </c>
      <c r="C5" s="51">
        <v>802</v>
      </c>
      <c r="D5" s="52">
        <v>0.82343299385557511</v>
      </c>
      <c r="E5" s="507">
        <f>Tabela18[[#This Row],[Total de Alunos]]*Tabela18[[#This Row],[IACM Unidades]]</f>
        <v>660.39326107217119</v>
      </c>
      <c r="F5" s="179"/>
      <c r="G5" s="179"/>
      <c r="H5" s="179"/>
      <c r="I5" s="181"/>
    </row>
    <row r="6" spans="1:9">
      <c r="A6" s="39">
        <v>10</v>
      </c>
      <c r="B6" s="510" t="s">
        <v>39</v>
      </c>
      <c r="C6" s="51">
        <v>3573.5</v>
      </c>
      <c r="D6" s="52">
        <v>0.83499999999999996</v>
      </c>
      <c r="E6" s="507">
        <f>Tabela18[[#This Row],[Total de Alunos]]*Tabela18[[#This Row],[IACM Unidades]]</f>
        <v>2983.8724999999999</v>
      </c>
      <c r="F6" s="179">
        <f>H2</f>
        <v>0.83579999999999999</v>
      </c>
      <c r="G6" s="179"/>
      <c r="H6" s="179"/>
      <c r="I6" s="180">
        <f>IF(F6&gt;=0.95,100%,IF(F6&gt;=0.9,95%,IF(F6&gt;=0.85,90%,IF(F6&gt;=0.8,85%,IF(F6&gt;=0.75,80%,IF(F6&gt;=0.7,75%,IF(F6&gt;=0.65,70%,IF(F6&gt;=0.6,65%,IF(F6&gt;=0.55,60%,IF(F6&gt;=0.5,55%,IF(F6&gt;=0.45,50%,IF(F6&gt;=0.40625,45%,0))))))))))))</f>
        <v>0.85</v>
      </c>
    </row>
    <row r="7" spans="1:9">
      <c r="A7" s="39">
        <v>11</v>
      </c>
      <c r="B7" s="509" t="s">
        <v>159</v>
      </c>
      <c r="C7" s="51">
        <v>1489</v>
      </c>
      <c r="D7" s="52">
        <v>0.82008168851377727</v>
      </c>
      <c r="E7" s="507">
        <f>Tabela18[[#This Row],[Total de Alunos]]*Tabela18[[#This Row],[IACM Unidades]]</f>
        <v>1221.1016341970144</v>
      </c>
      <c r="F7" s="179"/>
      <c r="G7" s="179"/>
      <c r="H7" s="179"/>
      <c r="I7" s="180"/>
    </row>
    <row r="8" spans="1:9">
      <c r="A8" s="39">
        <v>12</v>
      </c>
      <c r="B8" s="509" t="s">
        <v>66</v>
      </c>
      <c r="C8" s="51">
        <v>1893.5</v>
      </c>
      <c r="D8" s="52">
        <v>0.83499999999999996</v>
      </c>
      <c r="E8" s="81">
        <f>Tabela18[[#This Row],[Total de Alunos]]*Tabela18[[#This Row],[IACM Unidades]]</f>
        <v>1581.0725</v>
      </c>
      <c r="F8" s="25"/>
      <c r="G8" s="25"/>
      <c r="H8" s="25"/>
    </row>
    <row r="9" spans="1:9">
      <c r="A9" s="39">
        <v>13</v>
      </c>
      <c r="B9" s="510" t="s">
        <v>100</v>
      </c>
      <c r="C9" s="51">
        <v>2657</v>
      </c>
      <c r="D9" s="52">
        <v>0.82914072527550531</v>
      </c>
      <c r="E9" s="81">
        <f>Tabela18[[#This Row],[Total de Alunos]]*Tabela18[[#This Row],[IACM Unidades]]</f>
        <v>2203.0269070570175</v>
      </c>
      <c r="F9" s="25"/>
      <c r="G9" s="25"/>
      <c r="H9" s="25"/>
    </row>
    <row r="10" spans="1:9">
      <c r="A10" s="39">
        <v>14</v>
      </c>
      <c r="B10" s="510" t="s">
        <v>61</v>
      </c>
      <c r="C10" s="51">
        <v>2194.5</v>
      </c>
      <c r="D10" s="52">
        <v>0.79500000000000004</v>
      </c>
      <c r="E10" s="81">
        <f>Tabela18[[#This Row],[Total de Alunos]]*Tabela18[[#This Row],[IACM Unidades]]</f>
        <v>1744.6275000000001</v>
      </c>
      <c r="F10" s="25"/>
      <c r="G10" s="25"/>
      <c r="H10" s="25"/>
    </row>
    <row r="11" spans="1:9">
      <c r="A11" s="39">
        <v>15</v>
      </c>
      <c r="B11" s="509" t="s">
        <v>38</v>
      </c>
      <c r="C11" s="51">
        <v>1995.5</v>
      </c>
      <c r="D11" s="52">
        <v>0.83499999999999996</v>
      </c>
      <c r="E11" s="81">
        <f>Tabela18[[#This Row],[Total de Alunos]]*Tabela18[[#This Row],[IACM Unidades]]</f>
        <v>1666.2424999999998</v>
      </c>
      <c r="F11" s="25"/>
      <c r="G11" s="25"/>
      <c r="H11" s="25"/>
    </row>
    <row r="12" spans="1:9">
      <c r="A12" s="39">
        <v>16</v>
      </c>
      <c r="B12" s="509" t="s">
        <v>188</v>
      </c>
      <c r="C12" s="51">
        <v>1646.5</v>
      </c>
      <c r="D12" s="52">
        <v>0.9012421833380172</v>
      </c>
      <c r="E12" s="81">
        <f>Tabela18[[#This Row],[Total de Alunos]]*Tabela18[[#This Row],[IACM Unidades]]</f>
        <v>1483.8952548660452</v>
      </c>
      <c r="F12" s="25"/>
      <c r="G12" s="25"/>
      <c r="H12" s="25"/>
    </row>
    <row r="13" spans="1:9">
      <c r="A13" s="39">
        <v>17</v>
      </c>
      <c r="B13" s="509" t="s">
        <v>69</v>
      </c>
      <c r="C13" s="51">
        <v>1761.5</v>
      </c>
      <c r="D13" s="52">
        <v>0.82283238637648481</v>
      </c>
      <c r="E13" s="81">
        <f>Tabela18[[#This Row],[Total de Alunos]]*Tabela18[[#This Row],[IACM Unidades]]</f>
        <v>1449.419248602178</v>
      </c>
      <c r="F13" s="25"/>
      <c r="G13" s="25"/>
      <c r="H13" s="25"/>
    </row>
    <row r="14" spans="1:9">
      <c r="A14" s="39">
        <v>18</v>
      </c>
      <c r="B14" s="509" t="s">
        <v>43</v>
      </c>
      <c r="C14" s="51">
        <v>816.5</v>
      </c>
      <c r="D14" s="52">
        <v>0.88939565155591804</v>
      </c>
      <c r="E14" s="81">
        <f>Tabela18[[#This Row],[Total de Alunos]]*Tabela18[[#This Row],[IACM Unidades]]</f>
        <v>726.19154949540712</v>
      </c>
      <c r="F14" s="25"/>
      <c r="G14" s="25"/>
      <c r="H14" s="25"/>
    </row>
    <row r="15" spans="1:9">
      <c r="A15" s="39">
        <v>19</v>
      </c>
      <c r="B15" s="509" t="s">
        <v>149</v>
      </c>
      <c r="C15" s="51">
        <v>1092</v>
      </c>
      <c r="D15" s="52">
        <v>0.89316059557845828</v>
      </c>
      <c r="E15" s="81">
        <f>Tabela18[[#This Row],[Total de Alunos]]*Tabela18[[#This Row],[IACM Unidades]]</f>
        <v>975.33137037167648</v>
      </c>
      <c r="F15" s="25"/>
      <c r="G15" s="25"/>
      <c r="H15" s="25"/>
    </row>
    <row r="16" spans="1:9">
      <c r="A16" s="39">
        <v>23</v>
      </c>
      <c r="B16" s="509" t="s">
        <v>79</v>
      </c>
      <c r="C16" s="51">
        <v>1723</v>
      </c>
      <c r="D16" s="52">
        <v>0.88441661462071197</v>
      </c>
      <c r="E16" s="81">
        <f>Tabela18[[#This Row],[Total de Alunos]]*Tabela18[[#This Row],[IACM Unidades]]</f>
        <v>1523.8498269914867</v>
      </c>
      <c r="F16" s="25"/>
      <c r="G16" s="25"/>
      <c r="H16" s="25"/>
    </row>
    <row r="17" spans="1:8">
      <c r="A17" s="38">
        <v>24</v>
      </c>
      <c r="B17" s="509" t="s">
        <v>96</v>
      </c>
      <c r="C17" s="51">
        <v>943</v>
      </c>
      <c r="D17" s="52">
        <v>0.88367243637209913</v>
      </c>
      <c r="E17" s="81">
        <f>Tabela18[[#This Row],[Total de Alunos]]*Tabela18[[#This Row],[IACM Unidades]]</f>
        <v>833.30310749888952</v>
      </c>
      <c r="F17" s="25"/>
      <c r="G17" s="25"/>
      <c r="H17" s="25"/>
    </row>
    <row r="18" spans="1:8">
      <c r="A18" s="39">
        <v>25</v>
      </c>
      <c r="B18" s="509" t="s">
        <v>29</v>
      </c>
      <c r="C18" s="51">
        <v>982.5</v>
      </c>
      <c r="D18" s="52">
        <v>0.89058615655415696</v>
      </c>
      <c r="E18" s="81">
        <f>Tabela18[[#This Row],[Total de Alunos]]*Tabela18[[#This Row],[IACM Unidades]]</f>
        <v>875.00089881445922</v>
      </c>
      <c r="F18" s="25"/>
      <c r="G18" s="25"/>
      <c r="H18" s="25"/>
    </row>
    <row r="19" spans="1:8">
      <c r="A19" s="38">
        <v>26</v>
      </c>
      <c r="B19" s="509" t="s">
        <v>55</v>
      </c>
      <c r="C19" s="51">
        <v>1279</v>
      </c>
      <c r="D19" s="52">
        <v>0.7</v>
      </c>
      <c r="E19" s="81">
        <f>Tabela18[[#This Row],[Total de Alunos]]*Tabela18[[#This Row],[IACM Unidades]]</f>
        <v>895.3</v>
      </c>
      <c r="F19" s="25"/>
      <c r="G19" s="25"/>
      <c r="H19" s="25"/>
    </row>
    <row r="20" spans="1:8">
      <c r="A20" s="39">
        <v>27</v>
      </c>
      <c r="B20" s="510" t="s">
        <v>155</v>
      </c>
      <c r="C20" s="51">
        <v>1106.5</v>
      </c>
      <c r="D20" s="52">
        <v>0.8615750629685901</v>
      </c>
      <c r="E20" s="81">
        <f>Tabela18[[#This Row],[Total de Alunos]]*Tabela18[[#This Row],[IACM Unidades]]</f>
        <v>953.33280717474497</v>
      </c>
      <c r="F20" s="25"/>
      <c r="G20" s="25"/>
      <c r="H20" s="25"/>
    </row>
    <row r="21" spans="1:8">
      <c r="A21" s="38">
        <v>28</v>
      </c>
      <c r="B21" s="509" t="s">
        <v>27</v>
      </c>
      <c r="C21" s="51">
        <v>284</v>
      </c>
      <c r="D21" s="52">
        <v>0.91827689084064457</v>
      </c>
      <c r="E21" s="81">
        <f>Tabela18[[#This Row],[Total de Alunos]]*Tabela18[[#This Row],[IACM Unidades]]</f>
        <v>260.79063699874308</v>
      </c>
      <c r="F21" s="47"/>
      <c r="G21" s="47"/>
      <c r="H21" s="47"/>
    </row>
    <row r="22" spans="1:8">
      <c r="A22" s="38">
        <v>29</v>
      </c>
      <c r="B22" s="509" t="s">
        <v>182</v>
      </c>
      <c r="C22" s="51">
        <v>1236.5</v>
      </c>
      <c r="D22" s="52">
        <v>0.79156434642856166</v>
      </c>
      <c r="E22" s="81">
        <f>Tabela18[[#This Row],[Total de Alunos]]*Tabela18[[#This Row],[IACM Unidades]]</f>
        <v>978.76931435891652</v>
      </c>
      <c r="F22" s="25"/>
      <c r="G22" s="25"/>
      <c r="H22" s="25"/>
    </row>
    <row r="23" spans="1:8">
      <c r="A23" s="38">
        <v>30</v>
      </c>
      <c r="B23" s="510" t="s">
        <v>163</v>
      </c>
      <c r="C23" s="51">
        <v>1134</v>
      </c>
      <c r="D23" s="52">
        <v>0.83449398166157085</v>
      </c>
      <c r="E23" s="81">
        <f>Tabela18[[#This Row],[Total de Alunos]]*Tabela18[[#This Row],[IACM Unidades]]</f>
        <v>946.31617520422139</v>
      </c>
      <c r="F23" s="25"/>
      <c r="G23" s="25"/>
      <c r="H23" s="25"/>
    </row>
    <row r="24" spans="1:8">
      <c r="A24" s="38">
        <v>31</v>
      </c>
      <c r="B24" s="510" t="s">
        <v>119</v>
      </c>
      <c r="C24" s="51">
        <v>588</v>
      </c>
      <c r="D24" s="52">
        <v>0.69878538796100809</v>
      </c>
      <c r="E24" s="81">
        <f>Tabela18[[#This Row],[Total de Alunos]]*Tabela18[[#This Row],[IACM Unidades]]</f>
        <v>410.88580812107273</v>
      </c>
      <c r="F24" s="25"/>
      <c r="G24" s="25"/>
      <c r="H24" s="25"/>
    </row>
    <row r="25" spans="1:8">
      <c r="A25" s="39">
        <v>32</v>
      </c>
      <c r="B25" s="510" t="s">
        <v>222</v>
      </c>
      <c r="C25" s="51">
        <v>471</v>
      </c>
      <c r="D25" s="52">
        <v>0.91</v>
      </c>
      <c r="E25" s="81">
        <f>Tabela18[[#This Row],[Total de Alunos]]*Tabela18[[#This Row],[IACM Unidades]]</f>
        <v>428.61</v>
      </c>
      <c r="F25" s="25"/>
      <c r="G25" s="25"/>
      <c r="H25" s="25"/>
    </row>
    <row r="26" spans="1:8">
      <c r="A26" s="38">
        <v>33</v>
      </c>
      <c r="B26" s="509" t="s">
        <v>73</v>
      </c>
      <c r="C26" s="51">
        <v>697.5</v>
      </c>
      <c r="D26" s="52">
        <v>0.68889378975631843</v>
      </c>
      <c r="E26" s="81">
        <f>Tabela18[[#This Row],[Total de Alunos]]*Tabela18[[#This Row],[IACM Unidades]]</f>
        <v>480.50341835503212</v>
      </c>
      <c r="F26" s="25"/>
      <c r="G26" s="25"/>
      <c r="H26" s="25"/>
    </row>
    <row r="27" spans="1:8">
      <c r="A27" s="39">
        <v>34</v>
      </c>
      <c r="B27" s="510" t="s">
        <v>115</v>
      </c>
      <c r="C27" s="51">
        <v>960.5</v>
      </c>
      <c r="D27" s="52">
        <v>0.70172178640297544</v>
      </c>
      <c r="E27" s="81">
        <f>Tabela18[[#This Row],[Total de Alunos]]*Tabela18[[#This Row],[IACM Unidades]]</f>
        <v>674.00377584005787</v>
      </c>
      <c r="F27" s="25"/>
      <c r="G27" s="25"/>
      <c r="H27" s="25"/>
    </row>
    <row r="28" spans="1:8">
      <c r="A28" s="39">
        <v>35</v>
      </c>
      <c r="B28" s="510" t="s">
        <v>200</v>
      </c>
      <c r="C28" s="51">
        <v>1411.5</v>
      </c>
      <c r="D28" s="52">
        <v>0.81272623677182754</v>
      </c>
      <c r="E28" s="81">
        <f>Tabela18[[#This Row],[Total de Alunos]]*Tabela18[[#This Row],[IACM Unidades]]</f>
        <v>1147.1630832034346</v>
      </c>
      <c r="F28" s="25"/>
      <c r="G28" s="25"/>
      <c r="H28" s="25"/>
    </row>
    <row r="29" spans="1:8">
      <c r="A29" s="39">
        <v>36</v>
      </c>
      <c r="B29" s="509" t="s">
        <v>144</v>
      </c>
      <c r="C29" s="51">
        <v>1102</v>
      </c>
      <c r="D29" s="52">
        <v>0.73316603498698296</v>
      </c>
      <c r="E29" s="81">
        <f>Tabela18[[#This Row],[Total de Alunos]]*Tabela18[[#This Row],[IACM Unidades]]</f>
        <v>807.94897055565525</v>
      </c>
      <c r="F29" s="25"/>
      <c r="G29" s="25"/>
      <c r="H29" s="25"/>
    </row>
    <row r="30" spans="1:8">
      <c r="A30" s="40">
        <v>37</v>
      </c>
      <c r="B30" s="511" t="s">
        <v>95</v>
      </c>
      <c r="C30" s="51">
        <v>609</v>
      </c>
      <c r="D30" s="52">
        <v>0.92500000000000004</v>
      </c>
      <c r="E30" s="81">
        <f>Tabela18[[#This Row],[Total de Alunos]]*Tabela18[[#This Row],[IACM Unidades]]</f>
        <v>563.32500000000005</v>
      </c>
      <c r="F30" s="25"/>
      <c r="G30" s="25"/>
      <c r="H30" s="25"/>
    </row>
    <row r="31" spans="1:8">
      <c r="A31" s="38">
        <v>38</v>
      </c>
      <c r="B31" s="510" t="s">
        <v>130</v>
      </c>
      <c r="C31" s="51">
        <v>373.5</v>
      </c>
      <c r="D31" s="52">
        <v>0.7002761662874023</v>
      </c>
      <c r="E31" s="81">
        <f>Tabela18[[#This Row],[Total de Alunos]]*Tabela18[[#This Row],[IACM Unidades]]</f>
        <v>261.55314810834477</v>
      </c>
      <c r="F31" s="25"/>
      <c r="G31" s="25"/>
      <c r="H31" s="25"/>
    </row>
    <row r="32" spans="1:8">
      <c r="A32" s="39">
        <v>39</v>
      </c>
      <c r="B32" s="509" t="s">
        <v>45</v>
      </c>
      <c r="C32" s="51">
        <v>585</v>
      </c>
      <c r="D32" s="52">
        <v>0.91</v>
      </c>
      <c r="E32" s="81">
        <f>Tabela18[[#This Row],[Total de Alunos]]*Tabela18[[#This Row],[IACM Unidades]]</f>
        <v>532.35</v>
      </c>
      <c r="F32" s="25"/>
      <c r="G32" s="25"/>
      <c r="H32" s="25"/>
    </row>
    <row r="33" spans="1:8">
      <c r="A33" s="38">
        <v>40</v>
      </c>
      <c r="B33" s="509" t="s">
        <v>126</v>
      </c>
      <c r="C33" s="51">
        <v>498</v>
      </c>
      <c r="D33" s="52">
        <v>0.82499999999999996</v>
      </c>
      <c r="E33" s="81">
        <f>Tabela18[[#This Row],[Total de Alunos]]*Tabela18[[#This Row],[IACM Unidades]]</f>
        <v>410.84999999999997</v>
      </c>
      <c r="F33" s="25"/>
      <c r="G33" s="25"/>
      <c r="H33" s="25"/>
    </row>
    <row r="34" spans="1:8">
      <c r="A34" s="39">
        <v>41</v>
      </c>
      <c r="B34" s="510" t="s">
        <v>58</v>
      </c>
      <c r="C34" s="51">
        <v>1626</v>
      </c>
      <c r="D34" s="52">
        <v>0.81264869531632511</v>
      </c>
      <c r="E34" s="81">
        <f>Tabela18[[#This Row],[Total de Alunos]]*Tabela18[[#This Row],[IACM Unidades]]</f>
        <v>1321.3667785843447</v>
      </c>
      <c r="F34" s="25"/>
      <c r="G34" s="25"/>
      <c r="H34" s="25"/>
    </row>
    <row r="35" spans="1:8">
      <c r="A35" s="38">
        <v>42</v>
      </c>
      <c r="B35" s="509" t="s">
        <v>52</v>
      </c>
      <c r="C35" s="51">
        <v>890.5</v>
      </c>
      <c r="D35" s="52">
        <v>0.80647615248389759</v>
      </c>
      <c r="E35" s="81">
        <f>Tabela18[[#This Row],[Total de Alunos]]*Tabela18[[#This Row],[IACM Unidades]]</f>
        <v>718.16701378691084</v>
      </c>
      <c r="F35" s="25"/>
      <c r="G35" s="25"/>
      <c r="H35" s="25"/>
    </row>
    <row r="36" spans="1:8">
      <c r="A36" s="38">
        <v>43</v>
      </c>
      <c r="B36" s="509" t="s">
        <v>175</v>
      </c>
      <c r="C36" s="51">
        <v>1130</v>
      </c>
      <c r="D36" s="52">
        <v>0.97550422748591203</v>
      </c>
      <c r="E36" s="81">
        <f>Tabela18[[#This Row],[Total de Alunos]]*Tabela18[[#This Row],[IACM Unidades]]</f>
        <v>1102.3197770590807</v>
      </c>
      <c r="F36" s="25"/>
      <c r="G36" s="25"/>
      <c r="H36" s="25"/>
    </row>
    <row r="37" spans="1:8">
      <c r="A37" s="38">
        <v>44</v>
      </c>
      <c r="B37" s="509" t="s">
        <v>94</v>
      </c>
      <c r="C37" s="51">
        <v>581.5</v>
      </c>
      <c r="D37" s="52">
        <v>0.79953708970532278</v>
      </c>
      <c r="E37" s="81">
        <f>Tabela18[[#This Row],[Total de Alunos]]*Tabela18[[#This Row],[IACM Unidades]]</f>
        <v>464.9308176636452</v>
      </c>
      <c r="F37" s="25"/>
      <c r="G37" s="25"/>
      <c r="H37" s="25"/>
    </row>
    <row r="38" spans="1:8">
      <c r="A38" s="39">
        <v>45</v>
      </c>
      <c r="B38" s="509" t="s">
        <v>135</v>
      </c>
      <c r="C38" s="51">
        <v>1533.5</v>
      </c>
      <c r="D38" s="52">
        <v>0.80608783248516502</v>
      </c>
      <c r="E38" s="81">
        <f>Tabela18[[#This Row],[Total de Alunos]]*Tabela18[[#This Row],[IACM Unidades]]</f>
        <v>1236.1356911160005</v>
      </c>
      <c r="F38" s="25"/>
      <c r="G38" s="25"/>
      <c r="H38" s="25"/>
    </row>
    <row r="39" spans="1:8">
      <c r="A39" s="38">
        <v>46</v>
      </c>
      <c r="B39" s="510" t="s">
        <v>213</v>
      </c>
      <c r="C39" s="51">
        <v>572</v>
      </c>
      <c r="D39" s="52">
        <v>0.85</v>
      </c>
      <c r="E39" s="81">
        <f>Tabela18[[#This Row],[Total de Alunos]]*Tabela18[[#This Row],[IACM Unidades]]</f>
        <v>486.2</v>
      </c>
      <c r="F39" s="25"/>
      <c r="G39" s="25"/>
      <c r="H39" s="25"/>
    </row>
    <row r="40" spans="1:8">
      <c r="A40" s="38">
        <v>47</v>
      </c>
      <c r="B40" s="509" t="s">
        <v>152</v>
      </c>
      <c r="C40" s="51">
        <v>634</v>
      </c>
      <c r="D40" s="52">
        <v>0.85</v>
      </c>
      <c r="E40" s="81">
        <f>Tabela18[[#This Row],[Total de Alunos]]*Tabela18[[#This Row],[IACM Unidades]]</f>
        <v>538.9</v>
      </c>
      <c r="F40" s="25"/>
      <c r="G40" s="25"/>
      <c r="H40" s="25"/>
    </row>
    <row r="41" spans="1:8">
      <c r="A41" s="38">
        <v>48</v>
      </c>
      <c r="B41" s="509" t="s">
        <v>146</v>
      </c>
      <c r="C41" s="51">
        <v>676.5</v>
      </c>
      <c r="D41" s="52">
        <v>0.72313794016133703</v>
      </c>
      <c r="E41" s="81">
        <f>Tabela18[[#This Row],[Total de Alunos]]*Tabela18[[#This Row],[IACM Unidades]]</f>
        <v>489.20281651914451</v>
      </c>
      <c r="F41" s="25"/>
      <c r="G41" s="25"/>
      <c r="H41" s="25"/>
    </row>
    <row r="42" spans="1:8">
      <c r="A42" s="39">
        <v>49</v>
      </c>
      <c r="B42" s="509" t="s">
        <v>166</v>
      </c>
      <c r="C42" s="51">
        <v>261</v>
      </c>
      <c r="D42" s="52">
        <v>0.83246057649436467</v>
      </c>
      <c r="E42" s="81">
        <f>Tabela18[[#This Row],[Total de Alunos]]*Tabela18[[#This Row],[IACM Unidades]]</f>
        <v>217.27221046502919</v>
      </c>
      <c r="F42" s="25"/>
      <c r="G42" s="25"/>
      <c r="H42" s="25"/>
    </row>
    <row r="43" spans="1:8">
      <c r="A43" s="38">
        <v>50</v>
      </c>
      <c r="B43" s="510" t="s">
        <v>116</v>
      </c>
      <c r="C43" s="51">
        <v>1295</v>
      </c>
      <c r="D43" s="52">
        <v>0.83586487621096095</v>
      </c>
      <c r="E43" s="81">
        <f>Tabela18[[#This Row],[Total de Alunos]]*Tabela18[[#This Row],[IACM Unidades]]</f>
        <v>1082.4450146931945</v>
      </c>
      <c r="F43" s="25"/>
      <c r="G43" s="25"/>
      <c r="H43" s="25"/>
    </row>
    <row r="44" spans="1:8">
      <c r="A44" s="38">
        <v>51</v>
      </c>
      <c r="B44" s="510" t="s">
        <v>210</v>
      </c>
      <c r="C44" s="51">
        <v>1083</v>
      </c>
      <c r="D44" s="52">
        <v>0.85</v>
      </c>
      <c r="E44" s="81">
        <f>Tabela18[[#This Row],[Total de Alunos]]*Tabela18[[#This Row],[IACM Unidades]]</f>
        <v>920.55</v>
      </c>
      <c r="F44" s="25"/>
      <c r="G44" s="25"/>
      <c r="H44" s="25"/>
    </row>
    <row r="45" spans="1:8">
      <c r="A45" s="38">
        <v>52</v>
      </c>
      <c r="B45" s="510" t="s">
        <v>197</v>
      </c>
      <c r="C45" s="51">
        <v>584</v>
      </c>
      <c r="D45" s="52">
        <v>0.93860955437922766</v>
      </c>
      <c r="E45" s="81">
        <f>Tabela18[[#This Row],[Total de Alunos]]*Tabela18[[#This Row],[IACM Unidades]]</f>
        <v>548.14797975746899</v>
      </c>
      <c r="F45" s="25"/>
      <c r="G45" s="25"/>
      <c r="H45" s="25"/>
    </row>
    <row r="46" spans="1:8">
      <c r="A46" s="38">
        <v>53</v>
      </c>
      <c r="B46" s="509" t="s">
        <v>201</v>
      </c>
      <c r="C46" s="51">
        <v>665</v>
      </c>
      <c r="D46" s="52">
        <v>0.83748874358073744</v>
      </c>
      <c r="E46" s="81">
        <f>Tabela18[[#This Row],[Total de Alunos]]*Tabela18[[#This Row],[IACM Unidades]]</f>
        <v>556.93001448119037</v>
      </c>
      <c r="F46" s="25"/>
      <c r="G46" s="25"/>
      <c r="H46" s="25"/>
    </row>
    <row r="47" spans="1:8">
      <c r="A47" s="38">
        <v>54</v>
      </c>
      <c r="B47" s="509" t="s">
        <v>106</v>
      </c>
      <c r="C47" s="51">
        <v>1028.5</v>
      </c>
      <c r="D47" s="52">
        <v>0.90148586511011675</v>
      </c>
      <c r="E47" s="81">
        <f>Tabela18[[#This Row],[Total de Alunos]]*Tabela18[[#This Row],[IACM Unidades]]</f>
        <v>927.17821226575506</v>
      </c>
      <c r="F47" s="25"/>
      <c r="G47" s="25"/>
      <c r="H47" s="25"/>
    </row>
    <row r="48" spans="1:8">
      <c r="A48" s="38">
        <v>55</v>
      </c>
      <c r="B48" s="509" t="s">
        <v>81</v>
      </c>
      <c r="C48" s="51">
        <v>705</v>
      </c>
      <c r="D48" s="52">
        <v>0.89566315826022658</v>
      </c>
      <c r="E48" s="81">
        <f>Tabela18[[#This Row],[Total de Alunos]]*Tabela18[[#This Row],[IACM Unidades]]</f>
        <v>631.44252657345976</v>
      </c>
      <c r="F48" s="26"/>
      <c r="G48" s="27"/>
      <c r="H48" s="36"/>
    </row>
    <row r="49" spans="1:8">
      <c r="A49" s="39">
        <v>56</v>
      </c>
      <c r="B49" s="510" t="s">
        <v>147</v>
      </c>
      <c r="C49" s="51">
        <v>1187</v>
      </c>
      <c r="D49" s="52">
        <v>0.85</v>
      </c>
      <c r="E49" s="81">
        <f>Tabela18[[#This Row],[Total de Alunos]]*Tabela18[[#This Row],[IACM Unidades]]</f>
        <v>1008.9499999999999</v>
      </c>
      <c r="F49" s="25"/>
      <c r="G49" s="25"/>
      <c r="H49" s="25"/>
    </row>
    <row r="50" spans="1:8">
      <c r="A50" s="39">
        <v>57</v>
      </c>
      <c r="B50" s="509" t="s">
        <v>171</v>
      </c>
      <c r="C50" s="51">
        <v>488.5</v>
      </c>
      <c r="D50" s="52">
        <v>0.94</v>
      </c>
      <c r="E50" s="81">
        <f>Tabela18[[#This Row],[Total de Alunos]]*Tabela18[[#This Row],[IACM Unidades]]</f>
        <v>459.19</v>
      </c>
      <c r="F50" s="25"/>
      <c r="G50" s="25"/>
      <c r="H50" s="25"/>
    </row>
    <row r="51" spans="1:8">
      <c r="A51" s="39">
        <v>58</v>
      </c>
      <c r="B51" s="510" t="s">
        <v>3</v>
      </c>
      <c r="C51" s="51">
        <v>476</v>
      </c>
      <c r="D51" s="52">
        <v>0.76635512683562224</v>
      </c>
      <c r="E51" s="81">
        <f>Tabela18[[#This Row],[Total de Alunos]]*Tabela18[[#This Row],[IACM Unidades]]</f>
        <v>364.7850403737562</v>
      </c>
      <c r="F51" s="25"/>
      <c r="G51" s="25"/>
      <c r="H51" s="25"/>
    </row>
    <row r="52" spans="1:8">
      <c r="A52" s="38">
        <v>59</v>
      </c>
      <c r="B52" s="510" t="s">
        <v>174</v>
      </c>
      <c r="C52" s="51">
        <v>559</v>
      </c>
      <c r="D52" s="52">
        <v>0.80154714515012204</v>
      </c>
      <c r="E52" s="81">
        <f>Tabela18[[#This Row],[Total de Alunos]]*Tabela18[[#This Row],[IACM Unidades]]</f>
        <v>448.06485413891824</v>
      </c>
      <c r="F52" s="25"/>
      <c r="G52" s="25"/>
      <c r="H52" s="25"/>
    </row>
    <row r="53" spans="1:8">
      <c r="A53" s="39">
        <v>60</v>
      </c>
      <c r="B53" s="509" t="s">
        <v>83</v>
      </c>
      <c r="C53" s="51">
        <v>1299.5</v>
      </c>
      <c r="D53" s="52">
        <v>0.70868626517579036</v>
      </c>
      <c r="E53" s="81">
        <f>Tabela18[[#This Row],[Total de Alunos]]*Tabela18[[#This Row],[IACM Unidades]]</f>
        <v>920.93780159593962</v>
      </c>
      <c r="F53" s="25"/>
      <c r="G53" s="25"/>
      <c r="H53" s="25"/>
    </row>
    <row r="54" spans="1:8">
      <c r="A54" s="39">
        <v>61</v>
      </c>
      <c r="B54" s="509" t="s">
        <v>148</v>
      </c>
      <c r="C54" s="51">
        <v>1207.5</v>
      </c>
      <c r="D54" s="52">
        <v>0.83499999999999996</v>
      </c>
      <c r="E54" s="81">
        <f>Tabela18[[#This Row],[Total de Alunos]]*Tabela18[[#This Row],[IACM Unidades]]</f>
        <v>1008.2624999999999</v>
      </c>
      <c r="F54" s="25"/>
      <c r="G54" s="25"/>
      <c r="H54" s="25"/>
    </row>
    <row r="55" spans="1:8">
      <c r="A55" s="38">
        <v>62</v>
      </c>
      <c r="B55" s="510" t="s">
        <v>218</v>
      </c>
      <c r="C55" s="51">
        <v>647.5</v>
      </c>
      <c r="D55" s="52">
        <v>0.80705804045029839</v>
      </c>
      <c r="E55" s="81">
        <f>Tabela18[[#This Row],[Total de Alunos]]*Tabela18[[#This Row],[IACM Unidades]]</f>
        <v>522.57008119156819</v>
      </c>
      <c r="F55" s="25"/>
      <c r="G55" s="25"/>
      <c r="H55" s="25"/>
    </row>
    <row r="56" spans="1:8">
      <c r="A56" s="38">
        <v>63</v>
      </c>
      <c r="B56" s="509" t="s">
        <v>180</v>
      </c>
      <c r="C56" s="51">
        <v>200.5</v>
      </c>
      <c r="D56" s="52">
        <v>0.86132382670471197</v>
      </c>
      <c r="E56" s="81">
        <f>Tabela18[[#This Row],[Total de Alunos]]*Tabela18[[#This Row],[IACM Unidades]]</f>
        <v>172.69542725429474</v>
      </c>
      <c r="F56" s="25"/>
      <c r="G56" s="25"/>
      <c r="H56" s="25"/>
    </row>
    <row r="57" spans="1:8">
      <c r="A57" s="39">
        <v>64</v>
      </c>
      <c r="B57" s="509" t="s">
        <v>190</v>
      </c>
      <c r="C57" s="51">
        <v>1685.5</v>
      </c>
      <c r="D57" s="52">
        <v>0.82</v>
      </c>
      <c r="E57" s="81">
        <f>Tabela18[[#This Row],[Total de Alunos]]*Tabela18[[#This Row],[IACM Unidades]]</f>
        <v>1382.11</v>
      </c>
      <c r="F57" s="25"/>
      <c r="G57" s="25"/>
      <c r="H57" s="25"/>
    </row>
    <row r="58" spans="1:8">
      <c r="A58" s="38">
        <v>65</v>
      </c>
      <c r="B58" s="509" t="s">
        <v>187</v>
      </c>
      <c r="C58" s="51">
        <v>692</v>
      </c>
      <c r="D58" s="52">
        <v>0.91308474713869403</v>
      </c>
      <c r="E58" s="81">
        <f>Tabela18[[#This Row],[Total de Alunos]]*Tabela18[[#This Row],[IACM Unidades]]</f>
        <v>631.85464501997626</v>
      </c>
      <c r="F58" s="25"/>
      <c r="G58" s="25"/>
      <c r="H58" s="25"/>
    </row>
    <row r="59" spans="1:8">
      <c r="A59" s="39">
        <v>66</v>
      </c>
      <c r="B59" s="509" t="s">
        <v>224</v>
      </c>
      <c r="C59" s="51">
        <v>1192.5</v>
      </c>
      <c r="D59" s="52">
        <v>0.97590592161499001</v>
      </c>
      <c r="E59" s="81">
        <f>Tabela18[[#This Row],[Total de Alunos]]*Tabela18[[#This Row],[IACM Unidades]]</f>
        <v>1163.7678115258757</v>
      </c>
      <c r="F59" s="25"/>
      <c r="G59" s="25"/>
      <c r="H59" s="25"/>
    </row>
    <row r="60" spans="1:8">
      <c r="A60" s="38">
        <v>67</v>
      </c>
      <c r="B60" s="509" t="s">
        <v>161</v>
      </c>
      <c r="C60" s="51">
        <v>1575.5</v>
      </c>
      <c r="D60" s="52">
        <v>0.97407468253540486</v>
      </c>
      <c r="E60" s="81">
        <f>Tabela18[[#This Row],[Total de Alunos]]*Tabela18[[#This Row],[IACM Unidades]]</f>
        <v>1534.6546623345303</v>
      </c>
      <c r="F60" s="47"/>
      <c r="G60" s="47"/>
      <c r="H60" s="47"/>
    </row>
    <row r="61" spans="1:8">
      <c r="A61" s="39">
        <v>68</v>
      </c>
      <c r="B61" s="510" t="s">
        <v>92</v>
      </c>
      <c r="C61" s="51">
        <v>1049.5</v>
      </c>
      <c r="D61" s="52">
        <v>0.76468106582797701</v>
      </c>
      <c r="E61" s="81">
        <f>Tabela18[[#This Row],[Total de Alunos]]*Tabela18[[#This Row],[IACM Unidades]]</f>
        <v>802.53277858646186</v>
      </c>
      <c r="F61" s="25"/>
      <c r="G61" s="25"/>
      <c r="H61" s="25"/>
    </row>
    <row r="62" spans="1:8">
      <c r="A62" s="39">
        <v>69</v>
      </c>
      <c r="B62" s="510" t="s">
        <v>226</v>
      </c>
      <c r="C62" s="51">
        <v>182</v>
      </c>
      <c r="D62" s="52">
        <v>0.814212701917711</v>
      </c>
      <c r="E62" s="81">
        <f>Tabela18[[#This Row],[Total de Alunos]]*Tabela18[[#This Row],[IACM Unidades]]</f>
        <v>148.1867117490234</v>
      </c>
      <c r="F62" s="25"/>
      <c r="G62" s="25"/>
      <c r="H62" s="25"/>
    </row>
    <row r="63" spans="1:8">
      <c r="A63" s="38">
        <v>70</v>
      </c>
      <c r="B63" s="509" t="s">
        <v>158</v>
      </c>
      <c r="C63" s="51">
        <v>1186</v>
      </c>
      <c r="D63" s="52">
        <v>0.84289507332935731</v>
      </c>
      <c r="E63" s="81">
        <f>Tabela18[[#This Row],[Total de Alunos]]*Tabela18[[#This Row],[IACM Unidades]]</f>
        <v>999.67355696861773</v>
      </c>
      <c r="F63" s="25"/>
      <c r="G63" s="25"/>
      <c r="H63" s="25"/>
    </row>
    <row r="64" spans="1:8">
      <c r="A64" s="39">
        <v>71</v>
      </c>
      <c r="B64" s="509" t="s">
        <v>25</v>
      </c>
      <c r="C64" s="51">
        <v>376</v>
      </c>
      <c r="D64" s="52">
        <v>0.90898844312719329</v>
      </c>
      <c r="E64" s="81">
        <f>Tabela18[[#This Row],[Total de Alunos]]*Tabela18[[#This Row],[IACM Unidades]]</f>
        <v>341.77965461582465</v>
      </c>
      <c r="F64" s="25"/>
      <c r="G64" s="25"/>
      <c r="H64" s="25"/>
    </row>
    <row r="65" spans="1:8">
      <c r="A65" s="38">
        <v>72</v>
      </c>
      <c r="B65" s="512" t="s">
        <v>220</v>
      </c>
      <c r="C65" s="51">
        <v>286</v>
      </c>
      <c r="D65" s="52">
        <v>0.62196476714634275</v>
      </c>
      <c r="E65" s="81">
        <f>Tabela18[[#This Row],[Total de Alunos]]*Tabela18[[#This Row],[IACM Unidades]]</f>
        <v>177.88192340385402</v>
      </c>
      <c r="F65" s="25"/>
      <c r="G65" s="25"/>
      <c r="H65" s="25"/>
    </row>
    <row r="66" spans="1:8">
      <c r="A66" s="38">
        <v>73</v>
      </c>
      <c r="B66" s="509" t="s">
        <v>93</v>
      </c>
      <c r="C66" s="51">
        <v>909</v>
      </c>
      <c r="D66" s="52">
        <v>0.92687284773044465</v>
      </c>
      <c r="E66" s="81">
        <f>Tabela18[[#This Row],[Total de Alunos]]*Tabela18[[#This Row],[IACM Unidades]]</f>
        <v>842.52741858697414</v>
      </c>
      <c r="F66" s="25"/>
      <c r="G66" s="25"/>
      <c r="H66" s="25"/>
    </row>
    <row r="67" spans="1:8">
      <c r="A67" s="39">
        <v>74</v>
      </c>
      <c r="B67" s="509" t="s">
        <v>191</v>
      </c>
      <c r="C67" s="51">
        <v>1679</v>
      </c>
      <c r="D67" s="52">
        <v>0.90718228148942326</v>
      </c>
      <c r="E67" s="81">
        <f>Tabela18[[#This Row],[Total de Alunos]]*Tabela18[[#This Row],[IACM Unidades]]</f>
        <v>1523.1590506207417</v>
      </c>
      <c r="F67" s="25"/>
      <c r="G67" s="25"/>
      <c r="H67" s="25"/>
    </row>
    <row r="68" spans="1:8">
      <c r="A68" s="39">
        <v>75</v>
      </c>
      <c r="B68" s="509" t="s">
        <v>4</v>
      </c>
      <c r="C68" s="51">
        <v>456.5</v>
      </c>
      <c r="D68" s="52">
        <v>0.94</v>
      </c>
      <c r="E68" s="81">
        <f>Tabela18[[#This Row],[Total de Alunos]]*Tabela18[[#This Row],[IACM Unidades]]</f>
        <v>429.10999999999996</v>
      </c>
      <c r="F68" s="25"/>
      <c r="G68" s="25"/>
      <c r="H68" s="25"/>
    </row>
    <row r="69" spans="1:8">
      <c r="A69" s="39">
        <v>76</v>
      </c>
      <c r="B69" s="509" t="s">
        <v>128</v>
      </c>
      <c r="C69" s="51">
        <v>1108.5</v>
      </c>
      <c r="D69" s="52">
        <v>0.81748554464882728</v>
      </c>
      <c r="E69" s="81">
        <f>Tabela18[[#This Row],[Total de Alunos]]*Tabela18[[#This Row],[IACM Unidades]]</f>
        <v>906.18272624322503</v>
      </c>
      <c r="F69" s="25"/>
      <c r="G69" s="25"/>
      <c r="H69" s="25"/>
    </row>
    <row r="70" spans="1:8">
      <c r="A70" s="38">
        <v>77</v>
      </c>
      <c r="B70" s="510" t="s">
        <v>138</v>
      </c>
      <c r="C70" s="51">
        <v>1336</v>
      </c>
      <c r="D70" s="52">
        <v>0.83865359750994972</v>
      </c>
      <c r="E70" s="81">
        <f>Tabela18[[#This Row],[Total de Alunos]]*Tabela18[[#This Row],[IACM Unidades]]</f>
        <v>1120.4412062732929</v>
      </c>
      <c r="F70" s="25"/>
      <c r="G70" s="25"/>
      <c r="H70" s="25"/>
    </row>
    <row r="71" spans="1:8">
      <c r="A71" s="38">
        <v>78</v>
      </c>
      <c r="B71" s="510" t="s">
        <v>202</v>
      </c>
      <c r="C71" s="51">
        <v>1191</v>
      </c>
      <c r="D71" s="52">
        <v>0.90233900859658289</v>
      </c>
      <c r="E71" s="81">
        <f>Tabela18[[#This Row],[Total de Alunos]]*Tabela18[[#This Row],[IACM Unidades]]</f>
        <v>1074.6857592385302</v>
      </c>
      <c r="F71" s="25"/>
      <c r="G71" s="25"/>
      <c r="H71" s="25"/>
    </row>
    <row r="72" spans="1:8">
      <c r="A72" s="39">
        <v>79</v>
      </c>
      <c r="B72" s="509" t="s">
        <v>124</v>
      </c>
      <c r="C72" s="51">
        <v>482.5</v>
      </c>
      <c r="D72" s="52">
        <v>0.65</v>
      </c>
      <c r="E72" s="81">
        <f>Tabela18[[#This Row],[Total de Alunos]]*Tabela18[[#This Row],[IACM Unidades]]</f>
        <v>313.625</v>
      </c>
      <c r="F72" s="25"/>
      <c r="G72" s="25"/>
      <c r="H72" s="25"/>
    </row>
    <row r="73" spans="1:8">
      <c r="A73" s="39">
        <v>80</v>
      </c>
      <c r="B73" s="510" t="s">
        <v>217</v>
      </c>
      <c r="C73" s="51">
        <v>345.5</v>
      </c>
      <c r="D73" s="52">
        <v>0.7655813573675998</v>
      </c>
      <c r="E73" s="81">
        <f>Tabela18[[#This Row],[Total de Alunos]]*Tabela18[[#This Row],[IACM Unidades]]</f>
        <v>264.50835897050575</v>
      </c>
      <c r="F73" s="25"/>
      <c r="G73" s="25"/>
      <c r="H73" s="25"/>
    </row>
    <row r="74" spans="1:8">
      <c r="A74" s="38">
        <v>81</v>
      </c>
      <c r="B74" s="509" t="s">
        <v>123</v>
      </c>
      <c r="C74" s="51">
        <v>657</v>
      </c>
      <c r="D74" s="52">
        <v>0.88772997172965318</v>
      </c>
      <c r="E74" s="81">
        <f>Tabela18[[#This Row],[Total de Alunos]]*Tabela18[[#This Row],[IACM Unidades]]</f>
        <v>583.23859142638219</v>
      </c>
      <c r="F74" s="25"/>
      <c r="G74" s="25"/>
      <c r="H74" s="25"/>
    </row>
    <row r="75" spans="1:8">
      <c r="A75" s="38">
        <v>82</v>
      </c>
      <c r="B75" s="510" t="s">
        <v>179</v>
      </c>
      <c r="C75" s="51">
        <v>687.5</v>
      </c>
      <c r="D75" s="52">
        <v>0.83499999999999996</v>
      </c>
      <c r="E75" s="81">
        <f>Tabela18[[#This Row],[Total de Alunos]]*Tabela18[[#This Row],[IACM Unidades]]</f>
        <v>574.0625</v>
      </c>
      <c r="F75" s="25"/>
      <c r="G75" s="25"/>
      <c r="H75" s="25"/>
    </row>
    <row r="76" spans="1:8">
      <c r="A76" s="39">
        <v>83</v>
      </c>
      <c r="B76" s="509" t="s">
        <v>65</v>
      </c>
      <c r="C76" s="51">
        <v>198</v>
      </c>
      <c r="D76" s="52">
        <v>0.97611308444078349</v>
      </c>
      <c r="E76" s="81">
        <f>Tabela18[[#This Row],[Total de Alunos]]*Tabela18[[#This Row],[IACM Unidades]]</f>
        <v>193.27039071927513</v>
      </c>
      <c r="F76" s="25"/>
      <c r="G76" s="25"/>
      <c r="H76" s="25"/>
    </row>
    <row r="77" spans="1:8">
      <c r="A77" s="39">
        <v>84</v>
      </c>
      <c r="B77" s="509" t="s">
        <v>125</v>
      </c>
      <c r="C77" s="51">
        <v>719</v>
      </c>
      <c r="D77" s="52">
        <v>0.91124390578811154</v>
      </c>
      <c r="E77" s="81">
        <f>Tabela18[[#This Row],[Total de Alunos]]*Tabela18[[#This Row],[IACM Unidades]]</f>
        <v>655.18436826165225</v>
      </c>
      <c r="F77" s="25"/>
      <c r="G77" s="25"/>
      <c r="H77" s="25"/>
    </row>
    <row r="78" spans="1:8">
      <c r="A78" s="39">
        <v>85</v>
      </c>
      <c r="B78" s="509" t="s">
        <v>157</v>
      </c>
      <c r="C78" s="51">
        <v>1250.5</v>
      </c>
      <c r="D78" s="52">
        <v>0.66034238900732878</v>
      </c>
      <c r="E78" s="81">
        <f>Tabela18[[#This Row],[Total de Alunos]]*Tabela18[[#This Row],[IACM Unidades]]</f>
        <v>825.75815745366469</v>
      </c>
      <c r="F78" s="25"/>
      <c r="G78" s="25"/>
      <c r="H78" s="25"/>
    </row>
    <row r="79" spans="1:8">
      <c r="A79" s="38">
        <v>86</v>
      </c>
      <c r="B79" s="509" t="s">
        <v>185</v>
      </c>
      <c r="C79" s="51">
        <v>452</v>
      </c>
      <c r="D79" s="52">
        <v>1</v>
      </c>
      <c r="E79" s="81">
        <f>Tabela18[[#This Row],[Total de Alunos]]*Tabela18[[#This Row],[IACM Unidades]]</f>
        <v>452</v>
      </c>
      <c r="F79" s="25"/>
      <c r="G79" s="25"/>
      <c r="H79" s="25"/>
    </row>
    <row r="80" spans="1:8">
      <c r="A80" s="39">
        <v>87</v>
      </c>
      <c r="B80" s="509" t="s">
        <v>35</v>
      </c>
      <c r="C80" s="51">
        <v>210.5</v>
      </c>
      <c r="D80" s="52">
        <v>0.85</v>
      </c>
      <c r="E80" s="81">
        <f>Tabela18[[#This Row],[Total de Alunos]]*Tabela18[[#This Row],[IACM Unidades]]</f>
        <v>178.92499999999998</v>
      </c>
      <c r="F80" s="25"/>
      <c r="G80" s="25"/>
      <c r="H80" s="25"/>
    </row>
    <row r="81" spans="1:8">
      <c r="A81" s="38">
        <v>88</v>
      </c>
      <c r="B81" s="509" t="s">
        <v>153</v>
      </c>
      <c r="C81" s="51">
        <v>935.5</v>
      </c>
      <c r="D81" s="52">
        <v>0.85250713294535341</v>
      </c>
      <c r="E81" s="81">
        <f>Tabela18[[#This Row],[Total de Alunos]]*Tabela18[[#This Row],[IACM Unidades]]</f>
        <v>797.52042287037807</v>
      </c>
      <c r="F81" s="25"/>
      <c r="G81" s="25"/>
      <c r="H81" s="25"/>
    </row>
    <row r="82" spans="1:8">
      <c r="A82" s="38">
        <v>89</v>
      </c>
      <c r="B82" s="510" t="s">
        <v>205</v>
      </c>
      <c r="C82" s="51">
        <v>231.5</v>
      </c>
      <c r="D82" s="52">
        <v>0.92131342469958011</v>
      </c>
      <c r="E82" s="81">
        <f>Tabela18[[#This Row],[Total de Alunos]]*Tabela18[[#This Row],[IACM Unidades]]</f>
        <v>213.2840578179528</v>
      </c>
      <c r="F82" s="25"/>
      <c r="G82" s="25"/>
      <c r="H82" s="25"/>
    </row>
    <row r="83" spans="1:8">
      <c r="A83" s="38">
        <v>90</v>
      </c>
      <c r="B83" s="510" t="s">
        <v>102</v>
      </c>
      <c r="C83" s="51">
        <v>170.5</v>
      </c>
      <c r="D83" s="52">
        <v>0.91479445768293532</v>
      </c>
      <c r="E83" s="81">
        <f>Tabela18[[#This Row],[Total de Alunos]]*Tabela18[[#This Row],[IACM Unidades]]</f>
        <v>155.97245503494048</v>
      </c>
      <c r="F83" s="25"/>
      <c r="G83" s="25"/>
      <c r="H83" s="25"/>
    </row>
    <row r="84" spans="1:8">
      <c r="A84" s="39">
        <v>91</v>
      </c>
      <c r="B84" s="509" t="s">
        <v>176</v>
      </c>
      <c r="C84" s="51">
        <v>922.5</v>
      </c>
      <c r="D84" s="52">
        <v>0.73356652137991718</v>
      </c>
      <c r="E84" s="81">
        <f>Tabela18[[#This Row],[Total de Alunos]]*Tabela18[[#This Row],[IACM Unidades]]</f>
        <v>676.71511597297365</v>
      </c>
      <c r="F84" s="25"/>
      <c r="G84" s="25"/>
      <c r="H84" s="25"/>
    </row>
    <row r="85" spans="1:8">
      <c r="A85" s="39">
        <v>92</v>
      </c>
      <c r="B85" s="509" t="s">
        <v>154</v>
      </c>
      <c r="C85" s="51">
        <v>214</v>
      </c>
      <c r="D85" s="52">
        <v>0.81613642194065494</v>
      </c>
      <c r="E85" s="81">
        <f>Tabela18[[#This Row],[Total de Alunos]]*Tabela18[[#This Row],[IACM Unidades]]</f>
        <v>174.65319429530015</v>
      </c>
      <c r="F85" s="25"/>
      <c r="G85" s="25"/>
      <c r="H85" s="25"/>
    </row>
    <row r="86" spans="1:8">
      <c r="A86" s="38">
        <v>93</v>
      </c>
      <c r="B86" s="510" t="s">
        <v>207</v>
      </c>
      <c r="C86" s="51">
        <v>253</v>
      </c>
      <c r="D86" s="52">
        <v>0.8698804611452744</v>
      </c>
      <c r="E86" s="81">
        <f>Tabela18[[#This Row],[Total de Alunos]]*Tabela18[[#This Row],[IACM Unidades]]</f>
        <v>220.07975666975443</v>
      </c>
      <c r="F86" s="25"/>
      <c r="G86" s="25"/>
      <c r="H86" s="25"/>
    </row>
    <row r="87" spans="1:8">
      <c r="A87" s="39">
        <v>94</v>
      </c>
      <c r="B87" s="509" t="s">
        <v>84</v>
      </c>
      <c r="C87" s="51">
        <v>1102</v>
      </c>
      <c r="D87" s="52">
        <v>0.73</v>
      </c>
      <c r="E87" s="81">
        <f>Tabela18[[#This Row],[Total de Alunos]]*Tabela18[[#This Row],[IACM Unidades]]</f>
        <v>804.46</v>
      </c>
      <c r="F87" s="25"/>
      <c r="G87" s="25"/>
      <c r="H87" s="25"/>
    </row>
    <row r="88" spans="1:8">
      <c r="A88" s="38">
        <v>95</v>
      </c>
      <c r="B88" s="509" t="s">
        <v>111</v>
      </c>
      <c r="C88" s="51">
        <v>1089.5</v>
      </c>
      <c r="D88" s="52">
        <v>0.88599627091189259</v>
      </c>
      <c r="E88" s="81">
        <f>Tabela18[[#This Row],[Total de Alunos]]*Tabela18[[#This Row],[IACM Unidades]]</f>
        <v>965.29293715850702</v>
      </c>
      <c r="F88" s="25"/>
      <c r="G88" s="25"/>
      <c r="H88" s="25"/>
    </row>
    <row r="89" spans="1:8">
      <c r="A89" s="39">
        <v>96</v>
      </c>
      <c r="B89" s="509" t="s">
        <v>193</v>
      </c>
      <c r="C89" s="51">
        <v>1333</v>
      </c>
      <c r="D89" s="52">
        <v>0.91730562238883961</v>
      </c>
      <c r="E89" s="81">
        <f>Tabela18[[#This Row],[Total de Alunos]]*Tabela18[[#This Row],[IACM Unidades]]</f>
        <v>1222.7683946443233</v>
      </c>
      <c r="F89" s="25"/>
      <c r="G89" s="25"/>
      <c r="H89" s="25"/>
    </row>
    <row r="90" spans="1:8">
      <c r="A90" s="38">
        <v>97</v>
      </c>
      <c r="B90" s="510" t="s">
        <v>140</v>
      </c>
      <c r="C90" s="51">
        <v>394</v>
      </c>
      <c r="D90" s="52">
        <v>0.70440494104908569</v>
      </c>
      <c r="E90" s="81">
        <f>Tabela18[[#This Row],[Total de Alunos]]*Tabela18[[#This Row],[IACM Unidades]]</f>
        <v>277.53554677333977</v>
      </c>
      <c r="F90" s="25"/>
      <c r="G90" s="25"/>
      <c r="H90" s="25"/>
    </row>
    <row r="91" spans="1:8">
      <c r="A91" s="39">
        <v>98</v>
      </c>
      <c r="B91" s="510" t="s">
        <v>110</v>
      </c>
      <c r="C91" s="51">
        <v>1904.5</v>
      </c>
      <c r="D91" s="52">
        <v>0.92199507846005047</v>
      </c>
      <c r="E91" s="81">
        <f>Tabela18[[#This Row],[Total de Alunos]]*Tabela18[[#This Row],[IACM Unidades]]</f>
        <v>1755.939626927166</v>
      </c>
      <c r="F91" s="25"/>
      <c r="G91" s="25"/>
      <c r="H91" s="25"/>
    </row>
    <row r="92" spans="1:8">
      <c r="A92" s="39">
        <v>99</v>
      </c>
      <c r="B92" s="509" t="s">
        <v>204</v>
      </c>
      <c r="C92" s="51">
        <v>615</v>
      </c>
      <c r="D92" s="52">
        <v>0.94</v>
      </c>
      <c r="E92" s="81">
        <f>Tabela18[[#This Row],[Total de Alunos]]*Tabela18[[#This Row],[IACM Unidades]]</f>
        <v>578.1</v>
      </c>
      <c r="F92" s="25"/>
      <c r="G92" s="25"/>
      <c r="H92" s="25"/>
    </row>
    <row r="93" spans="1:8">
      <c r="A93" s="38">
        <v>100</v>
      </c>
      <c r="B93" s="509" t="s">
        <v>183</v>
      </c>
      <c r="C93" s="51">
        <v>1028</v>
      </c>
      <c r="D93" s="52">
        <v>0.9129165492619048</v>
      </c>
      <c r="E93" s="81">
        <f>Tabela18[[#This Row],[Total de Alunos]]*Tabela18[[#This Row],[IACM Unidades]]</f>
        <v>938.47821264123809</v>
      </c>
      <c r="F93" s="25"/>
      <c r="G93" s="25"/>
      <c r="H93" s="25"/>
    </row>
    <row r="94" spans="1:8">
      <c r="A94" s="39">
        <v>101</v>
      </c>
      <c r="B94" s="513" t="s">
        <v>137</v>
      </c>
      <c r="C94" s="51">
        <v>1328</v>
      </c>
      <c r="D94" s="52">
        <v>0.77518367047674519</v>
      </c>
      <c r="E94" s="81">
        <f>Tabela18[[#This Row],[Total de Alunos]]*Tabela18[[#This Row],[IACM Unidades]]</f>
        <v>1029.4439143931177</v>
      </c>
      <c r="F94" s="25"/>
      <c r="G94" s="25"/>
      <c r="H94" s="25"/>
    </row>
    <row r="95" spans="1:8">
      <c r="A95" s="39">
        <v>102</v>
      </c>
      <c r="B95" s="509" t="s">
        <v>219</v>
      </c>
      <c r="C95" s="51">
        <v>512.5</v>
      </c>
      <c r="D95" s="52">
        <v>0.82461055946757622</v>
      </c>
      <c r="E95" s="81">
        <f>Tabela18[[#This Row],[Total de Alunos]]*Tabela18[[#This Row],[IACM Unidades]]</f>
        <v>422.61291172713283</v>
      </c>
      <c r="F95" s="25"/>
      <c r="G95" s="25"/>
      <c r="H95" s="25"/>
    </row>
    <row r="96" spans="1:8">
      <c r="A96" s="39">
        <v>103</v>
      </c>
      <c r="B96" s="509" t="s">
        <v>195</v>
      </c>
      <c r="C96" s="51">
        <v>1207.5</v>
      </c>
      <c r="D96" s="52">
        <v>0.89984054680236369</v>
      </c>
      <c r="E96" s="81">
        <f>Tabela18[[#This Row],[Total de Alunos]]*Tabela18[[#This Row],[IACM Unidades]]</f>
        <v>1086.5574602638542</v>
      </c>
      <c r="F96" s="25"/>
      <c r="G96" s="25"/>
      <c r="H96" s="25"/>
    </row>
    <row r="97" spans="1:8">
      <c r="A97" s="38">
        <v>104</v>
      </c>
      <c r="B97" s="509" t="s">
        <v>136</v>
      </c>
      <c r="C97" s="51">
        <v>818.5</v>
      </c>
      <c r="D97" s="52">
        <v>0.994220971067724</v>
      </c>
      <c r="E97" s="81">
        <f>Tabela18[[#This Row],[Total de Alunos]]*Tabela18[[#This Row],[IACM Unidades]]</f>
        <v>813.76986481893209</v>
      </c>
      <c r="F97" s="25"/>
      <c r="G97" s="25"/>
      <c r="H97" s="25"/>
    </row>
    <row r="98" spans="1:8">
      <c r="A98" s="39">
        <v>107</v>
      </c>
      <c r="B98" s="509" t="s">
        <v>156</v>
      </c>
      <c r="C98" s="51">
        <v>958</v>
      </c>
      <c r="D98" s="52">
        <v>0.78541890688934091</v>
      </c>
      <c r="E98" s="81">
        <f>Tabela18[[#This Row],[Total de Alunos]]*Tabela18[[#This Row],[IACM Unidades]]</f>
        <v>752.43131279998863</v>
      </c>
      <c r="F98" s="25"/>
      <c r="G98" s="25"/>
      <c r="H98" s="25"/>
    </row>
    <row r="99" spans="1:8">
      <c r="A99" s="38">
        <v>108</v>
      </c>
      <c r="B99" s="509" t="s">
        <v>71</v>
      </c>
      <c r="C99" s="51">
        <v>1140</v>
      </c>
      <c r="D99" s="52">
        <v>0.88800965914183239</v>
      </c>
      <c r="E99" s="81">
        <f>Tabela18[[#This Row],[Total de Alunos]]*Tabela18[[#This Row],[IACM Unidades]]</f>
        <v>1012.3310114216889</v>
      </c>
      <c r="F99" s="25"/>
      <c r="G99" s="25"/>
      <c r="H99" s="25"/>
    </row>
    <row r="100" spans="1:8">
      <c r="A100" s="38">
        <v>110</v>
      </c>
      <c r="B100" s="509" t="s">
        <v>129</v>
      </c>
      <c r="C100" s="51">
        <v>906.5</v>
      </c>
      <c r="D100" s="52">
        <v>0.81003162672130324</v>
      </c>
      <c r="E100" s="81">
        <f>Tabela18[[#This Row],[Total de Alunos]]*Tabela18[[#This Row],[IACM Unidades]]</f>
        <v>734.29366962286144</v>
      </c>
      <c r="F100" s="25"/>
      <c r="G100" s="25"/>
      <c r="H100" s="25"/>
    </row>
    <row r="101" spans="1:8">
      <c r="A101" s="38">
        <v>115</v>
      </c>
      <c r="B101" s="509" t="s">
        <v>23</v>
      </c>
      <c r="C101" s="51">
        <v>928.5</v>
      </c>
      <c r="D101" s="52">
        <v>0.8697342204669114</v>
      </c>
      <c r="E101" s="81">
        <f>Tabela18[[#This Row],[Total de Alunos]]*Tabela18[[#This Row],[IACM Unidades]]</f>
        <v>807.54822370352724</v>
      </c>
      <c r="F101" s="25"/>
      <c r="G101" s="25"/>
      <c r="H101" s="25"/>
    </row>
    <row r="102" spans="1:8">
      <c r="A102" s="39">
        <v>116</v>
      </c>
      <c r="B102" s="509" t="s">
        <v>121</v>
      </c>
      <c r="C102" s="51">
        <v>276.5</v>
      </c>
      <c r="D102" s="52">
        <v>0.79</v>
      </c>
      <c r="E102" s="81">
        <f>Tabela18[[#This Row],[Total de Alunos]]*Tabela18[[#This Row],[IACM Unidades]]</f>
        <v>218.435</v>
      </c>
      <c r="F102" s="25"/>
      <c r="G102" s="25"/>
      <c r="H102" s="25"/>
    </row>
    <row r="103" spans="1:8">
      <c r="A103" s="39">
        <v>117</v>
      </c>
      <c r="B103" s="509" t="s">
        <v>53</v>
      </c>
      <c r="C103" s="51">
        <v>1226</v>
      </c>
      <c r="D103" s="52">
        <v>0.76570030559788893</v>
      </c>
      <c r="E103" s="81">
        <f>Tabela18[[#This Row],[Total de Alunos]]*Tabela18[[#This Row],[IACM Unidades]]</f>
        <v>938.74857466301182</v>
      </c>
      <c r="F103" s="25"/>
      <c r="G103" s="25"/>
      <c r="H103" s="25"/>
    </row>
    <row r="104" spans="1:8">
      <c r="A104" s="39">
        <v>118</v>
      </c>
      <c r="B104" s="509" t="s">
        <v>49</v>
      </c>
      <c r="C104" s="51">
        <v>965.5</v>
      </c>
      <c r="D104" s="52">
        <v>0.76</v>
      </c>
      <c r="E104" s="81">
        <f>Tabela18[[#This Row],[Total de Alunos]]*Tabela18[[#This Row],[IACM Unidades]]</f>
        <v>733.78</v>
      </c>
      <c r="F104" s="25"/>
      <c r="G104" s="25"/>
      <c r="H104" s="25"/>
    </row>
    <row r="105" spans="1:8">
      <c r="A105" s="39">
        <v>122</v>
      </c>
      <c r="B105" s="510" t="s">
        <v>85</v>
      </c>
      <c r="C105" s="51">
        <v>1032</v>
      </c>
      <c r="D105" s="52">
        <v>0.91</v>
      </c>
      <c r="E105" s="81">
        <f>Tabela18[[#This Row],[Total de Alunos]]*Tabela18[[#This Row],[IACM Unidades]]</f>
        <v>939.12</v>
      </c>
      <c r="F105" s="25"/>
      <c r="G105" s="25"/>
      <c r="H105" s="25"/>
    </row>
    <row r="106" spans="1:8">
      <c r="A106" s="38">
        <v>123</v>
      </c>
      <c r="B106" s="510" t="s">
        <v>5</v>
      </c>
      <c r="C106" s="51">
        <v>804</v>
      </c>
      <c r="D106" s="52">
        <v>0.80107267619944733</v>
      </c>
      <c r="E106" s="81">
        <f>Tabela18[[#This Row],[Total de Alunos]]*Tabela18[[#This Row],[IACM Unidades]]</f>
        <v>644.0624316643557</v>
      </c>
      <c r="F106" s="25"/>
      <c r="G106" s="25"/>
      <c r="H106" s="25"/>
    </row>
    <row r="107" spans="1:8">
      <c r="A107" s="38">
        <v>124</v>
      </c>
      <c r="B107" s="510" t="s">
        <v>77</v>
      </c>
      <c r="C107" s="51">
        <v>434</v>
      </c>
      <c r="D107" s="52">
        <v>0.84850014957627395</v>
      </c>
      <c r="E107" s="81">
        <f>Tabela18[[#This Row],[Total de Alunos]]*Tabela18[[#This Row],[IACM Unidades]]</f>
        <v>368.2490649161029</v>
      </c>
      <c r="F107" s="25"/>
      <c r="G107" s="25"/>
      <c r="H107" s="25"/>
    </row>
    <row r="108" spans="1:8">
      <c r="A108" s="39">
        <v>125</v>
      </c>
      <c r="B108" s="509" t="s">
        <v>145</v>
      </c>
      <c r="C108" s="51">
        <v>656</v>
      </c>
      <c r="D108" s="52">
        <v>0.94289085765994063</v>
      </c>
      <c r="E108" s="81">
        <f>Tabela18[[#This Row],[Total de Alunos]]*Tabela18[[#This Row],[IACM Unidades]]</f>
        <v>618.53640262492104</v>
      </c>
      <c r="F108" s="25"/>
      <c r="G108" s="25"/>
      <c r="H108" s="25"/>
    </row>
    <row r="109" spans="1:8">
      <c r="A109" s="39">
        <v>128</v>
      </c>
      <c r="B109" s="509" t="s">
        <v>118</v>
      </c>
      <c r="C109" s="51">
        <v>727.5</v>
      </c>
      <c r="D109" s="52">
        <v>0.88</v>
      </c>
      <c r="E109" s="81">
        <f>Tabela18[[#This Row],[Total de Alunos]]*Tabela18[[#This Row],[IACM Unidades]]</f>
        <v>640.20000000000005</v>
      </c>
      <c r="F109" s="25"/>
      <c r="G109" s="25"/>
      <c r="H109" s="25"/>
    </row>
    <row r="110" spans="1:8">
      <c r="A110" s="39">
        <v>134</v>
      </c>
      <c r="B110" s="509" t="s">
        <v>62</v>
      </c>
      <c r="C110" s="51">
        <v>1303.5</v>
      </c>
      <c r="D110" s="52">
        <v>0.77483861350067729</v>
      </c>
      <c r="E110" s="81">
        <f>Tabela18[[#This Row],[Total de Alunos]]*Tabela18[[#This Row],[IACM Unidades]]</f>
        <v>1010.0021326981329</v>
      </c>
      <c r="F110" s="25"/>
      <c r="G110" s="25"/>
      <c r="H110" s="25"/>
    </row>
    <row r="111" spans="1:8">
      <c r="A111" s="38">
        <v>135</v>
      </c>
      <c r="B111" s="509" t="s">
        <v>208</v>
      </c>
      <c r="C111" s="51">
        <v>1048</v>
      </c>
      <c r="D111" s="52">
        <v>0.9174356814713519</v>
      </c>
      <c r="E111" s="81">
        <f>Tabela18[[#This Row],[Total de Alunos]]*Tabela18[[#This Row],[IACM Unidades]]</f>
        <v>961.47259418197677</v>
      </c>
      <c r="F111" s="25"/>
      <c r="G111" s="25"/>
      <c r="H111" s="25"/>
    </row>
    <row r="112" spans="1:8">
      <c r="A112" s="39">
        <v>136</v>
      </c>
      <c r="B112" s="509" t="s">
        <v>181</v>
      </c>
      <c r="C112" s="51">
        <v>1059.5</v>
      </c>
      <c r="D112" s="52">
        <v>0.92790275295275182</v>
      </c>
      <c r="E112" s="81">
        <f>Tabela18[[#This Row],[Total de Alunos]]*Tabela18[[#This Row],[IACM Unidades]]</f>
        <v>983.11296675344056</v>
      </c>
      <c r="F112" s="25"/>
      <c r="G112" s="25"/>
      <c r="H112" s="25"/>
    </row>
    <row r="113" spans="1:8">
      <c r="A113" s="38">
        <v>138</v>
      </c>
      <c r="B113" s="510" t="s">
        <v>20</v>
      </c>
      <c r="C113" s="51">
        <v>952.5</v>
      </c>
      <c r="D113" s="52">
        <v>0.97585933385057133</v>
      </c>
      <c r="E113" s="81">
        <f>Tabela18[[#This Row],[Total de Alunos]]*Tabela18[[#This Row],[IACM Unidades]]</f>
        <v>929.50601549266923</v>
      </c>
      <c r="F113" s="25"/>
      <c r="G113" s="25"/>
      <c r="H113" s="25"/>
    </row>
    <row r="114" spans="1:8">
      <c r="A114" s="39">
        <v>139</v>
      </c>
      <c r="B114" s="510" t="s">
        <v>196</v>
      </c>
      <c r="C114" s="51">
        <v>841</v>
      </c>
      <c r="D114" s="52">
        <v>0.90525286174848973</v>
      </c>
      <c r="E114" s="81">
        <f>Tabela18[[#This Row],[Total de Alunos]]*Tabela18[[#This Row],[IACM Unidades]]</f>
        <v>761.31765673047983</v>
      </c>
      <c r="F114" s="25"/>
      <c r="G114" s="25"/>
      <c r="H114" s="25"/>
    </row>
    <row r="115" spans="1:8">
      <c r="A115" s="39">
        <v>140</v>
      </c>
      <c r="B115" s="510" t="s">
        <v>172</v>
      </c>
      <c r="C115" s="51">
        <v>359</v>
      </c>
      <c r="D115" s="52">
        <v>0.71499999999999997</v>
      </c>
      <c r="E115" s="81">
        <f>Tabela18[[#This Row],[Total de Alunos]]*Tabela18[[#This Row],[IACM Unidades]]</f>
        <v>256.685</v>
      </c>
      <c r="F115" s="25"/>
      <c r="G115" s="25"/>
      <c r="H115" s="25"/>
    </row>
    <row r="116" spans="1:8">
      <c r="A116" s="39">
        <v>141</v>
      </c>
      <c r="B116" s="509" t="s">
        <v>33</v>
      </c>
      <c r="C116" s="51">
        <v>941.5</v>
      </c>
      <c r="D116" s="52">
        <v>0.749884097504526</v>
      </c>
      <c r="E116" s="81">
        <f>Tabela18[[#This Row],[Total de Alunos]]*Tabela18[[#This Row],[IACM Unidades]]</f>
        <v>706.01587780051125</v>
      </c>
      <c r="F116" s="25"/>
      <c r="G116" s="25"/>
      <c r="H116" s="25"/>
    </row>
    <row r="117" spans="1:8">
      <c r="A117" s="38">
        <v>142</v>
      </c>
      <c r="B117" s="509" t="s">
        <v>105</v>
      </c>
      <c r="C117" s="51">
        <v>1162.5</v>
      </c>
      <c r="D117" s="52">
        <v>0.88500000000000001</v>
      </c>
      <c r="E117" s="81">
        <f>Tabela18[[#This Row],[Total de Alunos]]*Tabela18[[#This Row],[IACM Unidades]]</f>
        <v>1028.8125</v>
      </c>
      <c r="F117" s="25"/>
      <c r="G117" s="25"/>
      <c r="H117" s="25"/>
    </row>
    <row r="118" spans="1:8">
      <c r="A118" s="38">
        <v>144</v>
      </c>
      <c r="B118" s="509" t="s">
        <v>114</v>
      </c>
      <c r="C118" s="51">
        <v>948</v>
      </c>
      <c r="D118" s="52">
        <v>0.88</v>
      </c>
      <c r="E118" s="81">
        <f>Tabela18[[#This Row],[Total de Alunos]]*Tabela18[[#This Row],[IACM Unidades]]</f>
        <v>834.24</v>
      </c>
      <c r="F118" s="25"/>
      <c r="G118" s="25"/>
      <c r="H118" s="25"/>
    </row>
    <row r="119" spans="1:8">
      <c r="A119" s="38">
        <v>145</v>
      </c>
      <c r="B119" s="510" t="s">
        <v>139</v>
      </c>
      <c r="C119" s="51">
        <v>388.5</v>
      </c>
      <c r="D119" s="52">
        <v>0.85</v>
      </c>
      <c r="E119" s="81">
        <f>Tabela18[[#This Row],[Total de Alunos]]*Tabela18[[#This Row],[IACM Unidades]]</f>
        <v>330.22499999999997</v>
      </c>
      <c r="F119" s="25"/>
      <c r="G119" s="25"/>
      <c r="H119" s="25"/>
    </row>
    <row r="120" spans="1:8">
      <c r="A120" s="38">
        <v>147</v>
      </c>
      <c r="B120" s="509" t="s">
        <v>42</v>
      </c>
      <c r="C120" s="51">
        <v>904.5</v>
      </c>
      <c r="D120" s="52">
        <v>0.76875769503836611</v>
      </c>
      <c r="E120" s="81">
        <f>Tabela18[[#This Row],[Total de Alunos]]*Tabela18[[#This Row],[IACM Unidades]]</f>
        <v>695.3413351622022</v>
      </c>
      <c r="F120" s="25"/>
      <c r="G120" s="25"/>
      <c r="H120" s="25"/>
    </row>
    <row r="121" spans="1:8">
      <c r="A121" s="38">
        <v>148</v>
      </c>
      <c r="B121" s="509" t="s">
        <v>131</v>
      </c>
      <c r="C121" s="51">
        <v>911.5</v>
      </c>
      <c r="D121" s="52">
        <v>0.9</v>
      </c>
      <c r="E121" s="81">
        <f>Tabela18[[#This Row],[Total de Alunos]]*Tabela18[[#This Row],[IACM Unidades]]</f>
        <v>820.35</v>
      </c>
      <c r="F121" s="25"/>
      <c r="G121" s="25"/>
      <c r="H121" s="25"/>
    </row>
    <row r="122" spans="1:8">
      <c r="A122" s="39">
        <v>149</v>
      </c>
      <c r="B122" s="510" t="s">
        <v>28</v>
      </c>
      <c r="C122" s="51">
        <v>1043</v>
      </c>
      <c r="D122" s="52">
        <v>0.97</v>
      </c>
      <c r="E122" s="81">
        <f>Tabela18[[#This Row],[Total de Alunos]]*Tabela18[[#This Row],[IACM Unidades]]</f>
        <v>1011.7099999999999</v>
      </c>
      <c r="F122" s="25"/>
      <c r="G122" s="25"/>
      <c r="H122" s="25"/>
    </row>
    <row r="123" spans="1:8">
      <c r="A123" s="39">
        <v>150</v>
      </c>
      <c r="B123" s="509" t="s">
        <v>70</v>
      </c>
      <c r="C123" s="51">
        <v>682.5</v>
      </c>
      <c r="D123" s="52">
        <v>0.92607073735743384</v>
      </c>
      <c r="E123" s="81">
        <f>Tabela18[[#This Row],[Total de Alunos]]*Tabela18[[#This Row],[IACM Unidades]]</f>
        <v>632.04327824644861</v>
      </c>
      <c r="F123" s="25"/>
      <c r="G123" s="25"/>
      <c r="H123" s="25"/>
    </row>
    <row r="124" spans="1:8">
      <c r="A124" s="38">
        <v>151</v>
      </c>
      <c r="B124" s="509" t="s">
        <v>168</v>
      </c>
      <c r="C124" s="51">
        <v>886</v>
      </c>
      <c r="D124" s="52">
        <v>0.85</v>
      </c>
      <c r="E124" s="81">
        <f>Tabela18[[#This Row],[Total de Alunos]]*Tabela18[[#This Row],[IACM Unidades]]</f>
        <v>753.1</v>
      </c>
      <c r="F124" s="25"/>
      <c r="G124" s="25"/>
      <c r="H124" s="25"/>
    </row>
    <row r="125" spans="1:8">
      <c r="A125" s="38">
        <v>152</v>
      </c>
      <c r="B125" s="509" t="s">
        <v>24</v>
      </c>
      <c r="C125" s="51">
        <v>966</v>
      </c>
      <c r="D125" s="52">
        <v>0.70168818501324504</v>
      </c>
      <c r="E125" s="81">
        <f>Tabela18[[#This Row],[Total de Alunos]]*Tabela18[[#This Row],[IACM Unidades]]</f>
        <v>677.83078672279476</v>
      </c>
      <c r="F125" s="25"/>
      <c r="G125" s="25"/>
      <c r="H125" s="25"/>
    </row>
    <row r="126" spans="1:8">
      <c r="A126" s="39">
        <v>153</v>
      </c>
      <c r="B126" s="510" t="s">
        <v>189</v>
      </c>
      <c r="C126" s="51">
        <v>969.5</v>
      </c>
      <c r="D126" s="52">
        <v>0.89442292685844504</v>
      </c>
      <c r="E126" s="81">
        <f>Tabela18[[#This Row],[Total de Alunos]]*Tabela18[[#This Row],[IACM Unidades]]</f>
        <v>867.14302758926249</v>
      </c>
      <c r="F126" s="25"/>
      <c r="G126" s="25"/>
      <c r="H126" s="25"/>
    </row>
    <row r="127" spans="1:8">
      <c r="A127" s="39">
        <v>154</v>
      </c>
      <c r="B127" s="509" t="s">
        <v>178</v>
      </c>
      <c r="C127" s="51">
        <v>582</v>
      </c>
      <c r="D127" s="52">
        <v>0.85</v>
      </c>
      <c r="E127" s="81">
        <f>Tabela18[[#This Row],[Total de Alunos]]*Tabela18[[#This Row],[IACM Unidades]]</f>
        <v>494.7</v>
      </c>
      <c r="F127" s="25"/>
      <c r="G127" s="25"/>
      <c r="H127" s="25"/>
    </row>
    <row r="128" spans="1:8">
      <c r="A128" s="39">
        <v>156</v>
      </c>
      <c r="B128" s="509" t="s">
        <v>9</v>
      </c>
      <c r="C128" s="51">
        <v>366.5</v>
      </c>
      <c r="D128" s="52">
        <v>0.71018167507387076</v>
      </c>
      <c r="E128" s="81">
        <f>Tabela18[[#This Row],[Total de Alunos]]*Tabela18[[#This Row],[IACM Unidades]]</f>
        <v>260.28158391457362</v>
      </c>
      <c r="F128" s="25"/>
      <c r="G128" s="25"/>
      <c r="H128" s="25"/>
    </row>
    <row r="129" spans="1:8">
      <c r="A129" s="38">
        <v>158</v>
      </c>
      <c r="B129" s="509" t="s">
        <v>74</v>
      </c>
      <c r="C129" s="51">
        <v>646.5</v>
      </c>
      <c r="D129" s="52">
        <v>0.6816207557675712</v>
      </c>
      <c r="E129" s="81">
        <f>Tabela18[[#This Row],[Total de Alunos]]*Tabela18[[#This Row],[IACM Unidades]]</f>
        <v>440.66781860373476</v>
      </c>
      <c r="F129" s="25"/>
      <c r="G129" s="25"/>
      <c r="H129" s="25"/>
    </row>
    <row r="130" spans="1:8">
      <c r="A130" s="39">
        <v>159</v>
      </c>
      <c r="B130" s="509" t="s">
        <v>86</v>
      </c>
      <c r="C130" s="51">
        <v>1105</v>
      </c>
      <c r="D130" s="52">
        <v>0.80500000000000005</v>
      </c>
      <c r="E130" s="81">
        <f>Tabela18[[#This Row],[Total de Alunos]]*Tabela18[[#This Row],[IACM Unidades]]</f>
        <v>889.52500000000009</v>
      </c>
      <c r="F130" s="25"/>
      <c r="G130" s="25"/>
      <c r="H130" s="25"/>
    </row>
    <row r="131" spans="1:8">
      <c r="A131" s="38">
        <v>161</v>
      </c>
      <c r="B131" s="509" t="s">
        <v>225</v>
      </c>
      <c r="C131" s="51">
        <v>371.5</v>
      </c>
      <c r="D131" s="52">
        <v>0.83499999999999996</v>
      </c>
      <c r="E131" s="81">
        <f>Tabela18[[#This Row],[Total de Alunos]]*Tabela18[[#This Row],[IACM Unidades]]</f>
        <v>310.20249999999999</v>
      </c>
      <c r="F131" s="25"/>
      <c r="G131" s="25"/>
      <c r="H131" s="25"/>
    </row>
    <row r="132" spans="1:8">
      <c r="A132" s="39">
        <v>162</v>
      </c>
      <c r="B132" s="510" t="s">
        <v>206</v>
      </c>
      <c r="C132" s="51">
        <v>378</v>
      </c>
      <c r="D132" s="52">
        <v>0.90110711241103369</v>
      </c>
      <c r="E132" s="81">
        <f>Tabela18[[#This Row],[Total de Alunos]]*Tabela18[[#This Row],[IACM Unidades]]</f>
        <v>340.61848849137073</v>
      </c>
      <c r="F132" s="25"/>
      <c r="G132" s="25"/>
      <c r="H132" s="25"/>
    </row>
    <row r="133" spans="1:8">
      <c r="A133" s="39">
        <v>164</v>
      </c>
      <c r="B133" s="509" t="s">
        <v>127</v>
      </c>
      <c r="C133" s="51">
        <v>403</v>
      </c>
      <c r="D133" s="52">
        <v>0.96622591695508941</v>
      </c>
      <c r="E133" s="81">
        <f>Tabela18[[#This Row],[Total de Alunos]]*Tabela18[[#This Row],[IACM Unidades]]</f>
        <v>389.38904453290104</v>
      </c>
      <c r="F133" s="25"/>
      <c r="G133" s="25"/>
      <c r="H133" s="25"/>
    </row>
    <row r="134" spans="1:8">
      <c r="A134" s="38">
        <v>165</v>
      </c>
      <c r="B134" s="509" t="s">
        <v>16</v>
      </c>
      <c r="C134" s="51">
        <v>450</v>
      </c>
      <c r="D134" s="52">
        <v>0.76315774849983753</v>
      </c>
      <c r="E134" s="81">
        <f>Tabela18[[#This Row],[Total de Alunos]]*Tabela18[[#This Row],[IACM Unidades]]</f>
        <v>343.4209868249269</v>
      </c>
      <c r="F134" s="25"/>
      <c r="G134" s="25"/>
      <c r="H134" s="25"/>
    </row>
    <row r="135" spans="1:8">
      <c r="A135" s="38">
        <v>166</v>
      </c>
      <c r="B135" s="510" t="s">
        <v>72</v>
      </c>
      <c r="C135" s="51">
        <v>866</v>
      </c>
      <c r="D135" s="52">
        <v>0.69318985260768373</v>
      </c>
      <c r="E135" s="81">
        <f>Tabela18[[#This Row],[Total de Alunos]]*Tabela18[[#This Row],[IACM Unidades]]</f>
        <v>600.30241235825406</v>
      </c>
      <c r="F135" s="25"/>
      <c r="G135" s="25"/>
      <c r="H135" s="25"/>
    </row>
    <row r="136" spans="1:8">
      <c r="A136" s="39">
        <v>169</v>
      </c>
      <c r="B136" s="509" t="s">
        <v>108</v>
      </c>
      <c r="C136" s="51">
        <v>938</v>
      </c>
      <c r="D136" s="52">
        <v>0.85082513922169378</v>
      </c>
      <c r="E136" s="81">
        <f>Tabela18[[#This Row],[Total de Alunos]]*Tabela18[[#This Row],[IACM Unidades]]</f>
        <v>798.07398058994875</v>
      </c>
      <c r="F136" s="25"/>
      <c r="G136" s="25"/>
      <c r="H136" s="25"/>
    </row>
    <row r="137" spans="1:8">
      <c r="A137" s="38">
        <v>170</v>
      </c>
      <c r="B137" s="509" t="s">
        <v>18</v>
      </c>
      <c r="C137" s="51">
        <v>895.5</v>
      </c>
      <c r="D137" s="52">
        <v>0.79500000000000004</v>
      </c>
      <c r="E137" s="81">
        <f>Tabela18[[#This Row],[Total de Alunos]]*Tabela18[[#This Row],[IACM Unidades]]</f>
        <v>711.92250000000001</v>
      </c>
      <c r="F137" s="25"/>
      <c r="G137" s="25"/>
      <c r="H137" s="25"/>
    </row>
    <row r="138" spans="1:8">
      <c r="A138" s="39">
        <v>172</v>
      </c>
      <c r="B138" s="509" t="s">
        <v>87</v>
      </c>
      <c r="C138" s="51">
        <v>1006.5</v>
      </c>
      <c r="D138" s="52">
        <v>0.80206337441771813</v>
      </c>
      <c r="E138" s="81">
        <f>Tabela18[[#This Row],[Total de Alunos]]*Tabela18[[#This Row],[IACM Unidades]]</f>
        <v>807.27678635143332</v>
      </c>
      <c r="F138" s="25"/>
      <c r="G138" s="25"/>
      <c r="H138" s="25"/>
    </row>
    <row r="139" spans="1:8">
      <c r="A139" s="39">
        <v>179</v>
      </c>
      <c r="B139" s="509" t="s">
        <v>186</v>
      </c>
      <c r="C139" s="51">
        <v>541.5</v>
      </c>
      <c r="D139" s="52">
        <v>0.90283037913477615</v>
      </c>
      <c r="E139" s="81">
        <f>Tabela18[[#This Row],[Total de Alunos]]*Tabela18[[#This Row],[IACM Unidades]]</f>
        <v>488.88265030148131</v>
      </c>
      <c r="F139" s="25"/>
      <c r="G139" s="25"/>
      <c r="H139" s="25"/>
    </row>
    <row r="140" spans="1:8">
      <c r="A140" s="39">
        <v>180</v>
      </c>
      <c r="B140" s="509" t="s">
        <v>167</v>
      </c>
      <c r="C140" s="51">
        <v>836.5</v>
      </c>
      <c r="D140" s="52">
        <v>0.80850836130810644</v>
      </c>
      <c r="E140" s="81">
        <f>Tabela18[[#This Row],[Total de Alunos]]*Tabela18[[#This Row],[IACM Unidades]]</f>
        <v>676.317244234231</v>
      </c>
      <c r="F140" s="25"/>
      <c r="G140" s="25"/>
      <c r="H140" s="25"/>
    </row>
    <row r="141" spans="1:8">
      <c r="A141" s="38">
        <v>181</v>
      </c>
      <c r="B141" s="510" t="s">
        <v>89</v>
      </c>
      <c r="C141" s="51">
        <v>666.5</v>
      </c>
      <c r="D141" s="52">
        <v>0.82</v>
      </c>
      <c r="E141" s="81">
        <f>Tabela18[[#This Row],[Total de Alunos]]*Tabela18[[#This Row],[IACM Unidades]]</f>
        <v>546.53</v>
      </c>
      <c r="F141" s="25"/>
      <c r="G141" s="25"/>
      <c r="H141" s="25"/>
    </row>
    <row r="142" spans="1:8">
      <c r="A142" s="39">
        <v>185</v>
      </c>
      <c r="B142" s="509" t="s">
        <v>162</v>
      </c>
      <c r="C142" s="51">
        <v>618</v>
      </c>
      <c r="D142" s="52">
        <v>0.85</v>
      </c>
      <c r="E142" s="81">
        <f>Tabela18[[#This Row],[Total de Alunos]]*Tabela18[[#This Row],[IACM Unidades]]</f>
        <v>525.29999999999995</v>
      </c>
      <c r="F142" s="25"/>
      <c r="G142" s="25"/>
      <c r="H142" s="25"/>
    </row>
    <row r="143" spans="1:8">
      <c r="A143" s="39">
        <v>186</v>
      </c>
      <c r="B143" s="509" t="s">
        <v>97</v>
      </c>
      <c r="C143" s="51">
        <v>1019</v>
      </c>
      <c r="D143" s="52">
        <v>0.84475200475905821</v>
      </c>
      <c r="E143" s="81">
        <f>Tabela18[[#This Row],[Total de Alunos]]*Tabela18[[#This Row],[IACM Unidades]]</f>
        <v>860.8022928494803</v>
      </c>
      <c r="F143" s="25"/>
      <c r="G143" s="25"/>
      <c r="H143" s="25"/>
    </row>
    <row r="144" spans="1:8">
      <c r="A144" s="39">
        <v>187</v>
      </c>
      <c r="B144" s="509" t="s">
        <v>51</v>
      </c>
      <c r="C144" s="51">
        <v>652</v>
      </c>
      <c r="D144" s="52">
        <v>0.80090950052466714</v>
      </c>
      <c r="E144" s="81">
        <f>Tabela18[[#This Row],[Total de Alunos]]*Tabela18[[#This Row],[IACM Unidades]]</f>
        <v>522.19299434208301</v>
      </c>
      <c r="F144" s="25"/>
      <c r="G144" s="25"/>
      <c r="H144" s="25"/>
    </row>
    <row r="145" spans="1:8">
      <c r="A145" s="39">
        <v>188</v>
      </c>
      <c r="B145" s="509" t="s">
        <v>7</v>
      </c>
      <c r="C145" s="51">
        <v>347</v>
      </c>
      <c r="D145" s="52">
        <v>0.88911342914338265</v>
      </c>
      <c r="E145" s="81">
        <f>Tabela18[[#This Row],[Total de Alunos]]*Tabela18[[#This Row],[IACM Unidades]]</f>
        <v>308.52235991275376</v>
      </c>
      <c r="F145" s="25"/>
      <c r="G145" s="25"/>
      <c r="H145" s="25"/>
    </row>
    <row r="146" spans="1:8">
      <c r="A146" s="39">
        <v>190</v>
      </c>
      <c r="B146" s="509" t="s">
        <v>113</v>
      </c>
      <c r="C146" s="51">
        <v>1122.5</v>
      </c>
      <c r="D146" s="52">
        <v>0.83499999999999996</v>
      </c>
      <c r="E146" s="81">
        <f>Tabela18[[#This Row],[Total de Alunos]]*Tabela18[[#This Row],[IACM Unidades]]</f>
        <v>937.28749999999991</v>
      </c>
      <c r="F146" s="25"/>
      <c r="G146" s="25"/>
      <c r="H146" s="25"/>
    </row>
    <row r="147" spans="1:8">
      <c r="A147" s="38">
        <v>191</v>
      </c>
      <c r="B147" s="510" t="s">
        <v>34</v>
      </c>
      <c r="C147" s="51">
        <v>572</v>
      </c>
      <c r="D147" s="52">
        <v>0.9035287296817418</v>
      </c>
      <c r="E147" s="81">
        <f>Tabela18[[#This Row],[Total de Alunos]]*Tabela18[[#This Row],[IACM Unidades]]</f>
        <v>516.81843337795635</v>
      </c>
      <c r="F147" s="25"/>
      <c r="G147" s="25"/>
      <c r="H147" s="25"/>
    </row>
    <row r="148" spans="1:8">
      <c r="A148" s="39">
        <v>193</v>
      </c>
      <c r="B148" s="509" t="s">
        <v>132</v>
      </c>
      <c r="C148" s="51">
        <v>696.5</v>
      </c>
      <c r="D148" s="52">
        <v>0.89878367398955017</v>
      </c>
      <c r="E148" s="81">
        <f>Tabela18[[#This Row],[Total de Alunos]]*Tabela18[[#This Row],[IACM Unidades]]</f>
        <v>626.00282893372173</v>
      </c>
      <c r="F148" s="25"/>
      <c r="G148" s="25"/>
      <c r="H148" s="25"/>
    </row>
    <row r="149" spans="1:8">
      <c r="A149" s="39">
        <v>194</v>
      </c>
      <c r="B149" s="509" t="s">
        <v>99</v>
      </c>
      <c r="C149" s="51">
        <v>710.5</v>
      </c>
      <c r="D149" s="52">
        <v>0.89809526107041393</v>
      </c>
      <c r="E149" s="81">
        <f>Tabela18[[#This Row],[Total de Alunos]]*Tabela18[[#This Row],[IACM Unidades]]</f>
        <v>638.09668299052908</v>
      </c>
      <c r="F149" s="25"/>
      <c r="G149" s="25"/>
      <c r="H149" s="25"/>
    </row>
    <row r="150" spans="1:8">
      <c r="A150" s="39">
        <v>195</v>
      </c>
      <c r="B150" s="509" t="s">
        <v>143</v>
      </c>
      <c r="C150" s="51">
        <v>586.5</v>
      </c>
      <c r="D150" s="52">
        <v>0.90849200624407356</v>
      </c>
      <c r="E150" s="81">
        <f>Tabela18[[#This Row],[Total de Alunos]]*Tabela18[[#This Row],[IACM Unidades]]</f>
        <v>532.83056166214919</v>
      </c>
      <c r="F150" s="25"/>
      <c r="G150" s="25"/>
      <c r="H150" s="25"/>
    </row>
    <row r="151" spans="1:8">
      <c r="A151" s="39">
        <v>197</v>
      </c>
      <c r="B151" s="509" t="s">
        <v>173</v>
      </c>
      <c r="C151" s="51">
        <v>575.5</v>
      </c>
      <c r="D151" s="52">
        <v>0.84085003050161899</v>
      </c>
      <c r="E151" s="81">
        <f>Tabela18[[#This Row],[Total de Alunos]]*Tabela18[[#This Row],[IACM Unidades]]</f>
        <v>483.90919255368175</v>
      </c>
      <c r="F151" s="25"/>
      <c r="G151" s="25"/>
      <c r="H151" s="25"/>
    </row>
    <row r="152" spans="1:8">
      <c r="A152" s="39">
        <v>198</v>
      </c>
      <c r="B152" s="509" t="s">
        <v>67</v>
      </c>
      <c r="C152" s="51">
        <v>558.5</v>
      </c>
      <c r="D152" s="52">
        <v>0.82867255924756367</v>
      </c>
      <c r="E152" s="81">
        <f>Tabela18[[#This Row],[Total de Alunos]]*Tabela18[[#This Row],[IACM Unidades]]</f>
        <v>462.81362433976432</v>
      </c>
      <c r="F152" s="25"/>
      <c r="G152" s="25"/>
      <c r="H152" s="25"/>
    </row>
    <row r="153" spans="1:8">
      <c r="A153" s="39">
        <v>199</v>
      </c>
      <c r="B153" s="509" t="s">
        <v>19</v>
      </c>
      <c r="C153" s="51">
        <v>1342.5</v>
      </c>
      <c r="D153" s="52">
        <v>0.87424392888883418</v>
      </c>
      <c r="E153" s="81">
        <f>Tabela18[[#This Row],[Total de Alunos]]*Tabela18[[#This Row],[IACM Unidades]]</f>
        <v>1173.6724745332599</v>
      </c>
      <c r="F153" s="25"/>
      <c r="G153" s="25"/>
      <c r="H153" s="25"/>
    </row>
    <row r="154" spans="1:8">
      <c r="A154" s="39">
        <v>200</v>
      </c>
      <c r="B154" s="509" t="s">
        <v>134</v>
      </c>
      <c r="C154" s="51">
        <v>891.5</v>
      </c>
      <c r="D154" s="52">
        <v>0.91979171478023725</v>
      </c>
      <c r="E154" s="81">
        <f>Tabela18[[#This Row],[Total de Alunos]]*Tabela18[[#This Row],[IACM Unidades]]</f>
        <v>819.99431372658148</v>
      </c>
      <c r="F154" s="25"/>
      <c r="G154" s="25"/>
      <c r="H154" s="25"/>
    </row>
    <row r="155" spans="1:8">
      <c r="A155" s="38">
        <v>201</v>
      </c>
      <c r="B155" s="509" t="s">
        <v>88</v>
      </c>
      <c r="C155" s="51">
        <v>628.5</v>
      </c>
      <c r="D155" s="52">
        <v>0.83125508621775335</v>
      </c>
      <c r="E155" s="81">
        <f>Tabela18[[#This Row],[Total de Alunos]]*Tabela18[[#This Row],[IACM Unidades]]</f>
        <v>522.44382168785796</v>
      </c>
      <c r="F155" s="25"/>
      <c r="G155" s="25"/>
      <c r="H155" s="25"/>
    </row>
    <row r="156" spans="1:8">
      <c r="A156" s="39">
        <v>202</v>
      </c>
      <c r="B156" s="509" t="s">
        <v>133</v>
      </c>
      <c r="C156" s="51">
        <v>290</v>
      </c>
      <c r="D156" s="52">
        <v>0.65500000000000003</v>
      </c>
      <c r="E156" s="81">
        <f>Tabela18[[#This Row],[Total de Alunos]]*Tabela18[[#This Row],[IACM Unidades]]</f>
        <v>189.95000000000002</v>
      </c>
      <c r="F156" s="25"/>
      <c r="G156" s="25"/>
      <c r="H156" s="25"/>
    </row>
    <row r="157" spans="1:8">
      <c r="A157" s="39">
        <v>203</v>
      </c>
      <c r="B157" s="509" t="s">
        <v>63</v>
      </c>
      <c r="C157" s="51">
        <v>436</v>
      </c>
      <c r="D157" s="52">
        <v>0.85</v>
      </c>
      <c r="E157" s="81">
        <f>Tabela18[[#This Row],[Total de Alunos]]*Tabela18[[#This Row],[IACM Unidades]]</f>
        <v>370.59999999999997</v>
      </c>
      <c r="F157" s="25"/>
      <c r="G157" s="25"/>
      <c r="H157" s="25"/>
    </row>
    <row r="158" spans="1:8">
      <c r="A158" s="39">
        <v>205</v>
      </c>
      <c r="B158" s="509" t="s">
        <v>169</v>
      </c>
      <c r="C158" s="51">
        <v>957.5</v>
      </c>
      <c r="D158" s="52">
        <v>0.83027384057680154</v>
      </c>
      <c r="E158" s="81">
        <f>Tabela18[[#This Row],[Total de Alunos]]*Tabela18[[#This Row],[IACM Unidades]]</f>
        <v>794.98720235228745</v>
      </c>
      <c r="F158" s="25"/>
      <c r="G158" s="25"/>
      <c r="H158" s="25"/>
    </row>
    <row r="159" spans="1:8">
      <c r="A159" s="39">
        <v>206</v>
      </c>
      <c r="B159" s="510" t="s">
        <v>214</v>
      </c>
      <c r="C159" s="51">
        <v>522</v>
      </c>
      <c r="D159" s="52">
        <v>0.92771358790318448</v>
      </c>
      <c r="E159" s="81">
        <f>Tabela18[[#This Row],[Total de Alunos]]*Tabela18[[#This Row],[IACM Unidades]]</f>
        <v>484.2664928854623</v>
      </c>
      <c r="F159" s="25"/>
      <c r="G159" s="25"/>
      <c r="H159" s="25"/>
    </row>
    <row r="160" spans="1:8">
      <c r="A160" s="39">
        <v>207</v>
      </c>
      <c r="B160" s="512" t="s">
        <v>31</v>
      </c>
      <c r="C160" s="51">
        <v>1202.5</v>
      </c>
      <c r="D160" s="52">
        <v>0.71499999999999997</v>
      </c>
      <c r="E160" s="81">
        <f>Tabela18[[#This Row],[Total de Alunos]]*Tabela18[[#This Row],[IACM Unidades]]</f>
        <v>859.78749999999991</v>
      </c>
      <c r="F160" s="25"/>
      <c r="G160" s="25"/>
      <c r="H160" s="25"/>
    </row>
    <row r="161" spans="1:8">
      <c r="A161" s="39">
        <v>208</v>
      </c>
      <c r="B161" s="512" t="s">
        <v>112</v>
      </c>
      <c r="C161" s="51">
        <v>1167.5</v>
      </c>
      <c r="D161" s="52">
        <v>0.82</v>
      </c>
      <c r="E161" s="81">
        <f>Tabela18[[#This Row],[Total de Alunos]]*Tabela18[[#This Row],[IACM Unidades]]</f>
        <v>957.34999999999991</v>
      </c>
      <c r="F161" s="25"/>
      <c r="G161" s="25"/>
      <c r="H161" s="25"/>
    </row>
    <row r="162" spans="1:8">
      <c r="A162" s="39">
        <v>210</v>
      </c>
      <c r="B162" s="512" t="s">
        <v>13</v>
      </c>
      <c r="C162" s="51">
        <v>663</v>
      </c>
      <c r="D162" s="52">
        <v>0.77500000000000002</v>
      </c>
      <c r="E162" s="81">
        <f>Tabela18[[#This Row],[Total de Alunos]]*Tabela18[[#This Row],[IACM Unidades]]</f>
        <v>513.82500000000005</v>
      </c>
      <c r="F162" s="25"/>
      <c r="G162" s="25"/>
      <c r="H162" s="25"/>
    </row>
    <row r="163" spans="1:8">
      <c r="A163" s="39">
        <v>211</v>
      </c>
      <c r="B163" s="510" t="s">
        <v>76</v>
      </c>
      <c r="C163" s="51">
        <v>1114.5</v>
      </c>
      <c r="D163" s="52">
        <v>0.76117613341665813</v>
      </c>
      <c r="E163" s="81">
        <f>Tabela18[[#This Row],[Total de Alunos]]*Tabela18[[#This Row],[IACM Unidades]]</f>
        <v>848.33080069286552</v>
      </c>
      <c r="F163" s="25"/>
      <c r="G163" s="25"/>
      <c r="H163" s="25"/>
    </row>
    <row r="164" spans="1:8">
      <c r="A164" s="39">
        <v>212</v>
      </c>
      <c r="B164" s="510" t="s">
        <v>15</v>
      </c>
      <c r="C164" s="51">
        <v>439.5</v>
      </c>
      <c r="D164" s="52">
        <v>0.97</v>
      </c>
      <c r="E164" s="81">
        <f>Tabela18[[#This Row],[Total de Alunos]]*Tabela18[[#This Row],[IACM Unidades]]</f>
        <v>426.315</v>
      </c>
      <c r="F164" s="25"/>
      <c r="G164" s="25"/>
      <c r="H164" s="25"/>
    </row>
    <row r="165" spans="1:8">
      <c r="A165" s="38">
        <v>213</v>
      </c>
      <c r="B165" s="509" t="s">
        <v>78</v>
      </c>
      <c r="C165" s="51">
        <v>449</v>
      </c>
      <c r="D165" s="52">
        <v>0.83040956651931419</v>
      </c>
      <c r="E165" s="81">
        <f>Tabela18[[#This Row],[Total de Alunos]]*Tabela18[[#This Row],[IACM Unidades]]</f>
        <v>372.85389536717207</v>
      </c>
      <c r="F165" s="25"/>
      <c r="G165" s="25"/>
      <c r="H165" s="25"/>
    </row>
    <row r="166" spans="1:8">
      <c r="A166" s="39">
        <v>214</v>
      </c>
      <c r="B166" s="509" t="s">
        <v>8</v>
      </c>
      <c r="C166" s="51">
        <v>461.5</v>
      </c>
      <c r="D166" s="52">
        <v>0.84</v>
      </c>
      <c r="E166" s="81">
        <f>Tabela18[[#This Row],[Total de Alunos]]*Tabela18[[#This Row],[IACM Unidades]]</f>
        <v>387.65999999999997</v>
      </c>
      <c r="F166" s="25"/>
      <c r="G166" s="25"/>
      <c r="H166" s="25"/>
    </row>
    <row r="167" spans="1:8">
      <c r="A167" s="38">
        <v>215</v>
      </c>
      <c r="B167" s="509" t="s">
        <v>104</v>
      </c>
      <c r="C167" s="51">
        <v>471.5</v>
      </c>
      <c r="D167" s="52">
        <v>0.93957362461303529</v>
      </c>
      <c r="E167" s="81">
        <f>Tabela18[[#This Row],[Total de Alunos]]*Tabela18[[#This Row],[IACM Unidades]]</f>
        <v>443.00896400504615</v>
      </c>
      <c r="F167" s="48"/>
      <c r="G167" s="48"/>
      <c r="H167" s="48"/>
    </row>
    <row r="168" spans="1:8">
      <c r="A168" s="38">
        <v>218</v>
      </c>
      <c r="B168" s="509" t="s">
        <v>192</v>
      </c>
      <c r="C168" s="51">
        <v>632</v>
      </c>
      <c r="D168" s="52">
        <v>0.90922241872877207</v>
      </c>
      <c r="E168" s="81">
        <f>Tabela18[[#This Row],[Total de Alunos]]*Tabela18[[#This Row],[IACM Unidades]]</f>
        <v>574.62856863658396</v>
      </c>
      <c r="F168" s="25"/>
      <c r="G168" s="25"/>
      <c r="H168" s="25"/>
    </row>
    <row r="169" spans="1:8">
      <c r="A169" s="39">
        <v>219</v>
      </c>
      <c r="B169" s="510" t="s">
        <v>80</v>
      </c>
      <c r="C169" s="51">
        <v>365</v>
      </c>
      <c r="D169" s="52">
        <v>0.88834835690468372</v>
      </c>
      <c r="E169" s="81">
        <f>Tabela18[[#This Row],[Total de Alunos]]*Tabela18[[#This Row],[IACM Unidades]]</f>
        <v>324.24715027020954</v>
      </c>
      <c r="F169" s="25"/>
      <c r="G169" s="25"/>
      <c r="H169" s="25"/>
    </row>
    <row r="170" spans="1:8">
      <c r="A170" s="39">
        <v>220</v>
      </c>
      <c r="B170" s="509" t="s">
        <v>50</v>
      </c>
      <c r="C170" s="51">
        <v>1315.5</v>
      </c>
      <c r="D170" s="52">
        <v>0.85</v>
      </c>
      <c r="E170" s="81">
        <f>Tabela18[[#This Row],[Total de Alunos]]*Tabela18[[#This Row],[IACM Unidades]]</f>
        <v>1118.175</v>
      </c>
      <c r="F170" s="25"/>
      <c r="G170" s="25"/>
      <c r="H170" s="25"/>
    </row>
    <row r="171" spans="1:8">
      <c r="A171" s="39">
        <v>221</v>
      </c>
      <c r="B171" s="509" t="s">
        <v>91</v>
      </c>
      <c r="C171" s="51">
        <v>839</v>
      </c>
      <c r="D171" s="52">
        <v>0.71258493326183836</v>
      </c>
      <c r="E171" s="81">
        <f>Tabela18[[#This Row],[Total de Alunos]]*Tabela18[[#This Row],[IACM Unidades]]</f>
        <v>597.85875900668236</v>
      </c>
      <c r="F171" s="25"/>
      <c r="G171" s="25"/>
      <c r="H171" s="25"/>
    </row>
    <row r="172" spans="1:8">
      <c r="A172" s="38">
        <v>222</v>
      </c>
      <c r="B172" s="509" t="s">
        <v>46</v>
      </c>
      <c r="C172" s="51">
        <v>532</v>
      </c>
      <c r="D172" s="52">
        <v>0.755</v>
      </c>
      <c r="E172" s="81">
        <f>Tabela18[[#This Row],[Total de Alunos]]*Tabela18[[#This Row],[IACM Unidades]]</f>
        <v>401.66</v>
      </c>
      <c r="F172" s="25"/>
      <c r="G172" s="25"/>
      <c r="H172" s="25"/>
    </row>
    <row r="173" spans="1:8">
      <c r="A173" s="39">
        <v>223</v>
      </c>
      <c r="B173" s="509" t="s">
        <v>54</v>
      </c>
      <c r="C173" s="51">
        <v>367.5</v>
      </c>
      <c r="D173" s="52">
        <v>0.80935339647047044</v>
      </c>
      <c r="E173" s="81">
        <f>Tabela18[[#This Row],[Total de Alunos]]*Tabela18[[#This Row],[IACM Unidades]]</f>
        <v>297.4373732028979</v>
      </c>
      <c r="F173" s="25"/>
      <c r="G173" s="25"/>
      <c r="H173" s="25"/>
    </row>
    <row r="174" spans="1:8">
      <c r="A174" s="39">
        <v>224</v>
      </c>
      <c r="B174" s="509" t="s">
        <v>165</v>
      </c>
      <c r="C174" s="51">
        <v>711</v>
      </c>
      <c r="D174" s="52">
        <v>0.87448562990696221</v>
      </c>
      <c r="E174" s="81">
        <f>Tabela18[[#This Row],[Total de Alunos]]*Tabela18[[#This Row],[IACM Unidades]]</f>
        <v>621.7592828638501</v>
      </c>
      <c r="F174" s="25"/>
      <c r="G174" s="25"/>
      <c r="H174" s="25"/>
    </row>
    <row r="175" spans="1:8">
      <c r="A175" s="39">
        <v>225</v>
      </c>
      <c r="B175" s="509" t="s">
        <v>117</v>
      </c>
      <c r="C175" s="51">
        <v>759</v>
      </c>
      <c r="D175" s="52">
        <v>0.71900477923296646</v>
      </c>
      <c r="E175" s="81">
        <f>Tabela18[[#This Row],[Total de Alunos]]*Tabela18[[#This Row],[IACM Unidades]]</f>
        <v>545.7246274378216</v>
      </c>
      <c r="F175" s="25"/>
      <c r="G175" s="25"/>
      <c r="H175" s="25"/>
    </row>
    <row r="176" spans="1:8">
      <c r="A176" s="39">
        <v>226</v>
      </c>
      <c r="B176" s="509" t="s">
        <v>209</v>
      </c>
      <c r="C176" s="51">
        <v>762.5</v>
      </c>
      <c r="D176" s="52">
        <v>0.85339914391851979</v>
      </c>
      <c r="E176" s="81">
        <f>Tabela18[[#This Row],[Total de Alunos]]*Tabela18[[#This Row],[IACM Unidades]]</f>
        <v>650.71684723787132</v>
      </c>
      <c r="F176" s="25"/>
      <c r="G176" s="25"/>
      <c r="H176" s="25"/>
    </row>
    <row r="177" spans="1:8">
      <c r="A177" s="39">
        <v>227</v>
      </c>
      <c r="B177" s="509" t="s">
        <v>30</v>
      </c>
      <c r="C177" s="51">
        <v>1100</v>
      </c>
      <c r="D177" s="52">
        <v>0.78397250536610519</v>
      </c>
      <c r="E177" s="81">
        <f>Tabela18[[#This Row],[Total de Alunos]]*Tabela18[[#This Row],[IACM Unidades]]</f>
        <v>862.36975590271572</v>
      </c>
      <c r="F177" s="25"/>
      <c r="G177" s="25"/>
      <c r="H177" s="25"/>
    </row>
    <row r="178" spans="1:8">
      <c r="A178" s="39">
        <v>228</v>
      </c>
      <c r="B178" s="509" t="s">
        <v>47</v>
      </c>
      <c r="C178" s="51">
        <v>1101</v>
      </c>
      <c r="D178" s="52">
        <v>0.75241191197829016</v>
      </c>
      <c r="E178" s="81">
        <f>Tabela18[[#This Row],[Total de Alunos]]*Tabela18[[#This Row],[IACM Unidades]]</f>
        <v>828.40551508809745</v>
      </c>
      <c r="F178" s="25"/>
      <c r="G178" s="25"/>
      <c r="H178" s="25"/>
    </row>
    <row r="179" spans="1:8">
      <c r="A179" s="39">
        <v>229</v>
      </c>
      <c r="B179" s="509" t="s">
        <v>151</v>
      </c>
      <c r="C179" s="51">
        <v>810.5</v>
      </c>
      <c r="D179" s="52">
        <v>0.91051582740987569</v>
      </c>
      <c r="E179" s="81">
        <f>Tabela18[[#This Row],[Total de Alunos]]*Tabela18[[#This Row],[IACM Unidades]]</f>
        <v>737.9730781157042</v>
      </c>
      <c r="F179" s="25"/>
      <c r="G179" s="25"/>
      <c r="H179" s="25"/>
    </row>
    <row r="180" spans="1:8">
      <c r="A180" s="39">
        <v>230</v>
      </c>
      <c r="B180" s="509" t="s">
        <v>141</v>
      </c>
      <c r="C180" s="51">
        <v>847</v>
      </c>
      <c r="D180" s="52">
        <v>0.72098395953197336</v>
      </c>
      <c r="E180" s="81">
        <f>Tabela18[[#This Row],[Total de Alunos]]*Tabela18[[#This Row],[IACM Unidades]]</f>
        <v>610.67341372358146</v>
      </c>
      <c r="F180" s="25"/>
      <c r="G180" s="25"/>
      <c r="H180" s="25"/>
    </row>
    <row r="181" spans="1:8">
      <c r="A181" s="38">
        <v>231</v>
      </c>
      <c r="B181" s="510" t="s">
        <v>41</v>
      </c>
      <c r="C181" s="51">
        <v>832.5</v>
      </c>
      <c r="D181" s="52">
        <v>0.97610893140851074</v>
      </c>
      <c r="E181" s="81">
        <f>Tabela18[[#This Row],[Total de Alunos]]*Tabela18[[#This Row],[IACM Unidades]]</f>
        <v>812.61068539758514</v>
      </c>
      <c r="F181" s="25"/>
      <c r="G181" s="25"/>
      <c r="H181" s="25"/>
    </row>
    <row r="182" spans="1:8">
      <c r="A182" s="39">
        <v>232</v>
      </c>
      <c r="B182" s="510" t="s">
        <v>107</v>
      </c>
      <c r="C182" s="51">
        <v>599</v>
      </c>
      <c r="D182" s="52">
        <v>0.70892671835997279</v>
      </c>
      <c r="E182" s="81">
        <f>Tabela18[[#This Row],[Total de Alunos]]*Tabela18[[#This Row],[IACM Unidades]]</f>
        <v>424.64710429762368</v>
      </c>
      <c r="F182" s="25"/>
      <c r="G182" s="25"/>
      <c r="H182" s="25"/>
    </row>
    <row r="183" spans="1:8">
      <c r="A183" s="38">
        <v>233</v>
      </c>
      <c r="B183" s="509" t="s">
        <v>21</v>
      </c>
      <c r="C183" s="51">
        <v>628</v>
      </c>
      <c r="D183" s="52">
        <v>0.72176692161540157</v>
      </c>
      <c r="E183" s="81">
        <f>Tabela18[[#This Row],[Total de Alunos]]*Tabela18[[#This Row],[IACM Unidades]]</f>
        <v>453.26962677447216</v>
      </c>
      <c r="F183" s="25"/>
      <c r="G183" s="25"/>
      <c r="H183" s="25"/>
    </row>
    <row r="184" spans="1:8">
      <c r="A184" s="39">
        <v>234</v>
      </c>
      <c r="B184" s="510" t="s">
        <v>170</v>
      </c>
      <c r="C184" s="51">
        <v>864.5</v>
      </c>
      <c r="D184" s="52">
        <v>0.90206412053071572</v>
      </c>
      <c r="E184" s="81">
        <f>Tabela18[[#This Row],[Total de Alunos]]*Tabela18[[#This Row],[IACM Unidades]]</f>
        <v>779.83443219880371</v>
      </c>
      <c r="F184" s="25"/>
      <c r="G184" s="25"/>
      <c r="H184" s="25"/>
    </row>
    <row r="185" spans="1:8">
      <c r="A185" s="38">
        <v>235</v>
      </c>
      <c r="B185" s="509" t="s">
        <v>177</v>
      </c>
      <c r="C185" s="51">
        <v>504.5</v>
      </c>
      <c r="D185" s="52">
        <v>0.70888727889426917</v>
      </c>
      <c r="E185" s="81">
        <f>Tabela18[[#This Row],[Total de Alunos]]*Tabela18[[#This Row],[IACM Unidades]]</f>
        <v>357.63363220215882</v>
      </c>
      <c r="F185" s="25"/>
      <c r="G185" s="25"/>
      <c r="H185" s="25"/>
    </row>
    <row r="186" spans="1:8">
      <c r="A186" s="39">
        <v>236</v>
      </c>
      <c r="B186" s="509" t="s">
        <v>44</v>
      </c>
      <c r="C186" s="51">
        <v>302.5</v>
      </c>
      <c r="D186" s="52">
        <v>0.64600689961121072</v>
      </c>
      <c r="E186" s="81">
        <f>Tabela18[[#This Row],[Total de Alunos]]*Tabela18[[#This Row],[IACM Unidades]]</f>
        <v>195.41708713239123</v>
      </c>
      <c r="F186" s="25"/>
      <c r="G186" s="25"/>
      <c r="H186" s="25"/>
    </row>
    <row r="187" spans="1:8">
      <c r="A187" s="39">
        <v>237</v>
      </c>
      <c r="B187" s="509" t="s">
        <v>109</v>
      </c>
      <c r="C187" s="51">
        <v>445.5</v>
      </c>
      <c r="D187" s="52">
        <v>0.92500000000000004</v>
      </c>
      <c r="E187" s="81">
        <f>Tabela18[[#This Row],[Total de Alunos]]*Tabela18[[#This Row],[IACM Unidades]]</f>
        <v>412.08750000000003</v>
      </c>
      <c r="F187" s="25"/>
      <c r="G187" s="25"/>
      <c r="H187" s="25"/>
    </row>
    <row r="188" spans="1:8">
      <c r="A188" s="39">
        <v>238</v>
      </c>
      <c r="B188" s="509" t="s">
        <v>6</v>
      </c>
      <c r="C188" s="51">
        <v>779.5</v>
      </c>
      <c r="D188" s="52">
        <v>0.68264900665354733</v>
      </c>
      <c r="E188" s="81">
        <f>Tabela18[[#This Row],[Total de Alunos]]*Tabela18[[#This Row],[IACM Unidades]]</f>
        <v>532.12490068644013</v>
      </c>
      <c r="F188" s="25"/>
      <c r="G188" s="25"/>
      <c r="H188" s="25"/>
    </row>
    <row r="189" spans="1:8">
      <c r="A189" s="39">
        <v>239</v>
      </c>
      <c r="B189" s="510" t="s">
        <v>14</v>
      </c>
      <c r="C189" s="51">
        <v>277.5</v>
      </c>
      <c r="D189" s="52">
        <v>0.71</v>
      </c>
      <c r="E189" s="81">
        <f>Tabela18[[#This Row],[Total de Alunos]]*Tabela18[[#This Row],[IACM Unidades]]</f>
        <v>197.02499999999998</v>
      </c>
      <c r="F189" s="25"/>
      <c r="G189" s="25"/>
      <c r="H189" s="25"/>
    </row>
    <row r="190" spans="1:8">
      <c r="A190" s="38">
        <v>240</v>
      </c>
      <c r="B190" s="509" t="s">
        <v>164</v>
      </c>
      <c r="C190" s="51">
        <v>936</v>
      </c>
      <c r="D190" s="52">
        <v>0.82160923746716152</v>
      </c>
      <c r="E190" s="81">
        <f>Tabela18[[#This Row],[Total de Alunos]]*Tabela18[[#This Row],[IACM Unidades]]</f>
        <v>769.0262462692632</v>
      </c>
      <c r="F190" s="25"/>
      <c r="G190" s="25"/>
      <c r="H190" s="25"/>
    </row>
    <row r="191" spans="1:8">
      <c r="A191" s="38">
        <v>241</v>
      </c>
      <c r="B191" s="512" t="s">
        <v>68</v>
      </c>
      <c r="C191" s="51">
        <v>909.5</v>
      </c>
      <c r="D191" s="52">
        <v>0.84860630104384771</v>
      </c>
      <c r="E191" s="81">
        <f>Tabela18[[#This Row],[Total de Alunos]]*Tabela18[[#This Row],[IACM Unidades]]</f>
        <v>771.80743079937952</v>
      </c>
      <c r="F191" s="25"/>
      <c r="G191" s="25"/>
      <c r="H191" s="25"/>
    </row>
    <row r="192" spans="1:8">
      <c r="A192" s="39">
        <v>242</v>
      </c>
      <c r="B192" s="509" t="s">
        <v>142</v>
      </c>
      <c r="C192" s="51">
        <v>891.5</v>
      </c>
      <c r="D192" s="52">
        <v>0.88683570398049527</v>
      </c>
      <c r="E192" s="81">
        <f>Tabela18[[#This Row],[Total de Alunos]]*Tabela18[[#This Row],[IACM Unidades]]</f>
        <v>790.61403009861158</v>
      </c>
      <c r="F192" s="25"/>
      <c r="G192" s="25"/>
      <c r="H192" s="25"/>
    </row>
    <row r="193" spans="1:8">
      <c r="A193" s="38">
        <v>243</v>
      </c>
      <c r="B193" s="510" t="s">
        <v>59</v>
      </c>
      <c r="C193" s="51">
        <v>338</v>
      </c>
      <c r="D193" s="52">
        <v>0.7011082830488411</v>
      </c>
      <c r="E193" s="81">
        <f>Tabela18[[#This Row],[Total de Alunos]]*Tabela18[[#This Row],[IACM Unidades]]</f>
        <v>236.9745996705083</v>
      </c>
      <c r="F193" s="25"/>
      <c r="G193" s="25"/>
      <c r="H193" s="25"/>
    </row>
    <row r="194" spans="1:8">
      <c r="A194" s="38">
        <v>244</v>
      </c>
      <c r="B194" s="512" t="s">
        <v>194</v>
      </c>
      <c r="C194" s="51">
        <v>641.5</v>
      </c>
      <c r="D194" s="52">
        <v>0.92500000000000004</v>
      </c>
      <c r="E194" s="81">
        <f>Tabela18[[#This Row],[Total de Alunos]]*Tabela18[[#This Row],[IACM Unidades]]</f>
        <v>593.38750000000005</v>
      </c>
      <c r="F194" s="25"/>
      <c r="G194" s="25"/>
      <c r="H194" s="25"/>
    </row>
    <row r="195" spans="1:8">
      <c r="A195" s="38">
        <v>245</v>
      </c>
      <c r="B195" s="510" t="s">
        <v>48</v>
      </c>
      <c r="C195" s="51">
        <v>789.5</v>
      </c>
      <c r="D195" s="52">
        <v>0.88336745078396806</v>
      </c>
      <c r="E195" s="81">
        <f>Tabela18[[#This Row],[Total de Alunos]]*Tabela18[[#This Row],[IACM Unidades]]</f>
        <v>697.41860239394282</v>
      </c>
      <c r="F195" s="25"/>
      <c r="G195" s="25"/>
      <c r="H195" s="25"/>
    </row>
    <row r="196" spans="1:8">
      <c r="A196" s="39">
        <v>246</v>
      </c>
      <c r="B196" s="510" t="s">
        <v>150</v>
      </c>
      <c r="C196" s="51">
        <v>466</v>
      </c>
      <c r="D196" s="52">
        <v>1</v>
      </c>
      <c r="E196" s="81">
        <f>Tabela18[[#This Row],[Total de Alunos]]*Tabela18[[#This Row],[IACM Unidades]]</f>
        <v>466</v>
      </c>
      <c r="F196" s="25"/>
      <c r="G196" s="25"/>
      <c r="H196" s="25"/>
    </row>
    <row r="197" spans="1:8">
      <c r="A197" s="39">
        <v>247</v>
      </c>
      <c r="B197" s="510" t="s">
        <v>98</v>
      </c>
      <c r="C197" s="51">
        <v>715.5</v>
      </c>
      <c r="D197" s="52">
        <v>0.85</v>
      </c>
      <c r="E197" s="81">
        <f>Tabela18[[#This Row],[Total de Alunos]]*Tabela18[[#This Row],[IACM Unidades]]</f>
        <v>608.17499999999995</v>
      </c>
      <c r="F197" s="25"/>
      <c r="G197" s="25"/>
      <c r="H197" s="25"/>
    </row>
    <row r="198" spans="1:8">
      <c r="A198" s="38">
        <v>248</v>
      </c>
      <c r="B198" s="510" t="s">
        <v>203</v>
      </c>
      <c r="C198" s="51">
        <v>364</v>
      </c>
      <c r="D198" s="52">
        <v>0.72006968787395464</v>
      </c>
      <c r="E198" s="81">
        <f>Tabela18[[#This Row],[Total de Alunos]]*Tabela18[[#This Row],[IACM Unidades]]</f>
        <v>262.1053663861195</v>
      </c>
      <c r="F198" s="25"/>
      <c r="G198" s="25"/>
      <c r="H198" s="25"/>
    </row>
    <row r="199" spans="1:8">
      <c r="A199" s="38">
        <v>249</v>
      </c>
      <c r="B199" s="512" t="s">
        <v>26</v>
      </c>
      <c r="C199" s="51">
        <v>696</v>
      </c>
      <c r="D199" s="52">
        <v>0.83</v>
      </c>
      <c r="E199" s="81">
        <f>Tabela18[[#This Row],[Total de Alunos]]*Tabela18[[#This Row],[IACM Unidades]]</f>
        <v>577.67999999999995</v>
      </c>
      <c r="F199" s="25"/>
      <c r="G199" s="25"/>
      <c r="H199" s="25"/>
    </row>
    <row r="200" spans="1:8">
      <c r="A200" s="39">
        <v>252</v>
      </c>
      <c r="B200" s="509" t="s">
        <v>184</v>
      </c>
      <c r="C200" s="51">
        <v>552.5</v>
      </c>
      <c r="D200" s="52">
        <v>0.82499999999999996</v>
      </c>
      <c r="E200" s="81">
        <f>Tabela18[[#This Row],[Total de Alunos]]*Tabela18[[#This Row],[IACM Unidades]]</f>
        <v>455.8125</v>
      </c>
      <c r="F200" s="25"/>
      <c r="G200" s="25"/>
      <c r="H200" s="25"/>
    </row>
    <row r="201" spans="1:8">
      <c r="A201" s="39">
        <v>253</v>
      </c>
      <c r="B201" s="509" t="s">
        <v>90</v>
      </c>
      <c r="C201" s="51">
        <v>587</v>
      </c>
      <c r="D201" s="52">
        <v>0.85</v>
      </c>
      <c r="E201" s="81">
        <f>Tabela18[[#This Row],[Total de Alunos]]*Tabela18[[#This Row],[IACM Unidades]]</f>
        <v>498.95</v>
      </c>
      <c r="F201" s="25"/>
      <c r="G201" s="25"/>
      <c r="H201" s="25"/>
    </row>
    <row r="202" spans="1:8">
      <c r="A202" s="39">
        <v>254</v>
      </c>
      <c r="B202" s="509" t="s">
        <v>40</v>
      </c>
      <c r="C202" s="51">
        <v>885</v>
      </c>
      <c r="D202" s="52">
        <v>0.86698819632532353</v>
      </c>
      <c r="E202" s="81">
        <f>Tabela18[[#This Row],[Total de Alunos]]*Tabela18[[#This Row],[IACM Unidades]]</f>
        <v>767.28455374791133</v>
      </c>
      <c r="F202" s="25"/>
      <c r="G202" s="25"/>
      <c r="H202" s="25"/>
    </row>
    <row r="203" spans="1:8">
      <c r="A203" s="39">
        <v>255</v>
      </c>
      <c r="B203" s="510" t="s">
        <v>37</v>
      </c>
      <c r="C203" s="51">
        <v>470</v>
      </c>
      <c r="D203" s="52">
        <v>0.74</v>
      </c>
      <c r="E203" s="81">
        <f>Tabela18[[#This Row],[Total de Alunos]]*Tabela18[[#This Row],[IACM Unidades]]</f>
        <v>347.8</v>
      </c>
      <c r="F203" s="25"/>
      <c r="G203" s="25"/>
      <c r="H203" s="25"/>
    </row>
    <row r="204" spans="1:8">
      <c r="A204" s="38">
        <v>256</v>
      </c>
      <c r="B204" s="510" t="s">
        <v>10</v>
      </c>
      <c r="C204" s="51">
        <v>665.5</v>
      </c>
      <c r="D204" s="52">
        <v>0.92096495371931719</v>
      </c>
      <c r="E204" s="81">
        <f>Tabela18[[#This Row],[Total de Alunos]]*Tabela18[[#This Row],[IACM Unidades]]</f>
        <v>612.90217670020559</v>
      </c>
      <c r="F204" s="25"/>
      <c r="G204" s="25"/>
      <c r="H204" s="25"/>
    </row>
    <row r="205" spans="1:8">
      <c r="A205" s="39">
        <v>260</v>
      </c>
      <c r="B205" s="509" t="s">
        <v>101</v>
      </c>
      <c r="C205" s="51">
        <v>833</v>
      </c>
      <c r="D205" s="52">
        <v>0.81263006471865817</v>
      </c>
      <c r="E205" s="81">
        <f>Tabela18[[#This Row],[Total de Alunos]]*Tabela18[[#This Row],[IACM Unidades]]</f>
        <v>676.92084391064225</v>
      </c>
      <c r="F205" s="25"/>
      <c r="G205" s="25"/>
      <c r="H205" s="25"/>
    </row>
    <row r="206" spans="1:8">
      <c r="A206" s="38">
        <v>261</v>
      </c>
      <c r="B206" s="509" t="s">
        <v>211</v>
      </c>
      <c r="C206" s="51">
        <v>831</v>
      </c>
      <c r="D206" s="52">
        <v>0.84974519444096996</v>
      </c>
      <c r="E206" s="81">
        <f>Tabela18[[#This Row],[Total de Alunos]]*Tabela18[[#This Row],[IACM Unidades]]</f>
        <v>706.13825658044607</v>
      </c>
      <c r="F206" s="25"/>
      <c r="G206" s="25"/>
      <c r="H206" s="25"/>
    </row>
    <row r="207" spans="1:8">
      <c r="A207" s="39">
        <v>262</v>
      </c>
      <c r="B207" s="509" t="s">
        <v>22</v>
      </c>
      <c r="C207" s="51">
        <v>593.5</v>
      </c>
      <c r="D207" s="52">
        <v>0.86</v>
      </c>
      <c r="E207" s="81">
        <f>Tabela18[[#This Row],[Total de Alunos]]*Tabela18[[#This Row],[IACM Unidades]]</f>
        <v>510.40999999999997</v>
      </c>
      <c r="F207" s="25"/>
      <c r="G207" s="25"/>
      <c r="H207" s="25"/>
    </row>
    <row r="208" spans="1:8">
      <c r="A208" s="38">
        <v>263</v>
      </c>
      <c r="B208" s="509" t="s">
        <v>36</v>
      </c>
      <c r="C208" s="51">
        <v>299</v>
      </c>
      <c r="D208" s="52">
        <v>0.81</v>
      </c>
      <c r="E208" s="81">
        <f>Tabela18[[#This Row],[Total de Alunos]]*Tabela18[[#This Row],[IACM Unidades]]</f>
        <v>242.19000000000003</v>
      </c>
      <c r="F208" s="25"/>
      <c r="G208" s="25"/>
      <c r="H208" s="25"/>
    </row>
    <row r="209" spans="1:8">
      <c r="A209" s="39">
        <v>264</v>
      </c>
      <c r="B209" s="509" t="s">
        <v>215</v>
      </c>
      <c r="C209" s="51">
        <v>534</v>
      </c>
      <c r="D209" s="52">
        <v>0.94</v>
      </c>
      <c r="E209" s="81">
        <f>Tabela18[[#This Row],[Total de Alunos]]*Tabela18[[#This Row],[IACM Unidades]]</f>
        <v>501.96</v>
      </c>
      <c r="F209" s="25"/>
      <c r="G209" s="25"/>
      <c r="H209" s="25"/>
    </row>
    <row r="210" spans="1:8">
      <c r="A210" s="39">
        <v>266</v>
      </c>
      <c r="B210" s="510" t="s">
        <v>199</v>
      </c>
      <c r="C210" s="51">
        <v>589</v>
      </c>
      <c r="D210" s="52">
        <v>0.89699411421343667</v>
      </c>
      <c r="E210" s="81">
        <f>Tabela18[[#This Row],[Total de Alunos]]*Tabela18[[#This Row],[IACM Unidades]]</f>
        <v>528.32953327171424</v>
      </c>
      <c r="F210" s="25"/>
      <c r="G210" s="25"/>
      <c r="H210" s="25"/>
    </row>
    <row r="211" spans="1:8">
      <c r="A211" s="39">
        <v>267</v>
      </c>
      <c r="B211" s="510" t="s">
        <v>216</v>
      </c>
      <c r="C211" s="51">
        <v>182.5</v>
      </c>
      <c r="D211" s="52">
        <v>0.85</v>
      </c>
      <c r="E211" s="81">
        <f>Tabela18[[#This Row],[Total de Alunos]]*Tabela18[[#This Row],[IACM Unidades]]</f>
        <v>155.125</v>
      </c>
      <c r="F211" s="25"/>
      <c r="G211" s="25"/>
      <c r="H211" s="25"/>
    </row>
    <row r="212" spans="1:8">
      <c r="A212" s="38">
        <v>268</v>
      </c>
      <c r="B212" s="510" t="s">
        <v>120</v>
      </c>
      <c r="C212" s="51">
        <v>665.5</v>
      </c>
      <c r="D212" s="52">
        <v>0.83137875664310967</v>
      </c>
      <c r="E212" s="81">
        <f>Tabela18[[#This Row],[Total de Alunos]]*Tabela18[[#This Row],[IACM Unidades]]</f>
        <v>553.28256254598944</v>
      </c>
      <c r="F212" s="25"/>
      <c r="G212" s="25"/>
      <c r="H212" s="25"/>
    </row>
    <row r="213" spans="1:8">
      <c r="A213" s="38">
        <v>271</v>
      </c>
      <c r="B213" s="509" t="s">
        <v>198</v>
      </c>
      <c r="C213" s="51">
        <v>355</v>
      </c>
      <c r="D213" s="52">
        <v>0.64236214552836013</v>
      </c>
      <c r="E213" s="81">
        <f>Tabela18[[#This Row],[Total de Alunos]]*Tabela18[[#This Row],[IACM Unidades]]</f>
        <v>228.03856166256784</v>
      </c>
      <c r="F213" s="25"/>
      <c r="G213" s="25"/>
      <c r="H213" s="25"/>
    </row>
    <row r="214" spans="1:8">
      <c r="A214" s="39">
        <v>273</v>
      </c>
      <c r="B214" s="509" t="s">
        <v>82</v>
      </c>
      <c r="C214" s="51">
        <v>235.5</v>
      </c>
      <c r="D214" s="52">
        <v>0.78020871268934244</v>
      </c>
      <c r="E214" s="81">
        <f>Tabela18[[#This Row],[Total de Alunos]]*Tabela18[[#This Row],[IACM Unidades]]</f>
        <v>183.73915183834015</v>
      </c>
      <c r="F214" s="25"/>
      <c r="G214" s="25"/>
      <c r="H214" s="25"/>
    </row>
    <row r="215" spans="1:8">
      <c r="A215" s="38">
        <v>274</v>
      </c>
      <c r="B215" s="509" t="s">
        <v>75</v>
      </c>
      <c r="C215" s="51">
        <v>669.5</v>
      </c>
      <c r="D215" s="52">
        <v>0.95499999999999996</v>
      </c>
      <c r="E215" s="81">
        <f>Tabela18[[#This Row],[Total de Alunos]]*Tabela18[[#This Row],[IACM Unidades]]</f>
        <v>639.37249999999995</v>
      </c>
      <c r="F215" s="25"/>
      <c r="G215" s="25"/>
      <c r="H215" s="25"/>
    </row>
    <row r="216" spans="1:8">
      <c r="A216" s="39">
        <v>277</v>
      </c>
      <c r="B216" s="509" t="s">
        <v>122</v>
      </c>
      <c r="C216" s="51">
        <v>418</v>
      </c>
      <c r="D216" s="52">
        <v>0.92809976503317582</v>
      </c>
      <c r="E216" s="81">
        <f>Tabela18[[#This Row],[Total de Alunos]]*Tabela18[[#This Row],[IACM Unidades]]</f>
        <v>387.94570178386749</v>
      </c>
      <c r="F216" s="25"/>
      <c r="G216" s="25"/>
      <c r="H216" s="25"/>
    </row>
    <row r="217" spans="1:8">
      <c r="A217" s="38">
        <v>279</v>
      </c>
      <c r="B217" s="509" t="s">
        <v>221</v>
      </c>
      <c r="C217" s="51">
        <v>568</v>
      </c>
      <c r="D217" s="52">
        <v>0.89600472740609816</v>
      </c>
      <c r="E217" s="81">
        <f>Tabela18[[#This Row],[Total de Alunos]]*Tabela18[[#This Row],[IACM Unidades]]</f>
        <v>508.93068516666375</v>
      </c>
      <c r="F217" s="25"/>
      <c r="G217" s="25"/>
      <c r="H217" s="25"/>
    </row>
    <row r="218" spans="1:8">
      <c r="A218" s="38">
        <v>281</v>
      </c>
      <c r="B218" s="514" t="s">
        <v>12</v>
      </c>
      <c r="C218" s="51">
        <v>307.5</v>
      </c>
      <c r="D218" s="52">
        <v>0.86766761804919867</v>
      </c>
      <c r="E218" s="81">
        <f>Tabela18[[#This Row],[Total de Alunos]]*Tabela18[[#This Row],[IACM Unidades]]</f>
        <v>266.80779255012857</v>
      </c>
      <c r="F218" s="25"/>
      <c r="G218" s="25"/>
      <c r="H218" s="25"/>
    </row>
    <row r="219" spans="1:8">
      <c r="A219" s="39">
        <v>282</v>
      </c>
      <c r="B219" s="509" t="s">
        <v>56</v>
      </c>
      <c r="C219" s="51">
        <v>708.5</v>
      </c>
      <c r="D219" s="52">
        <v>0.85</v>
      </c>
      <c r="E219" s="81">
        <f>Tabela18[[#This Row],[Total de Alunos]]*Tabela18[[#This Row],[IACM Unidades]]</f>
        <v>602.22500000000002</v>
      </c>
      <c r="F219" s="25"/>
      <c r="G219" s="25"/>
      <c r="H219" s="25"/>
    </row>
    <row r="220" spans="1:8">
      <c r="A220" s="39">
        <v>285</v>
      </c>
      <c r="B220" s="509" t="s">
        <v>32</v>
      </c>
      <c r="C220" s="51">
        <v>1021</v>
      </c>
      <c r="D220" s="52">
        <v>0.70855362235448471</v>
      </c>
      <c r="E220" s="81">
        <f>Tabela18[[#This Row],[Total de Alunos]]*Tabela18[[#This Row],[IACM Unidades]]</f>
        <v>723.43324842392894</v>
      </c>
      <c r="F220" s="25"/>
      <c r="G220" s="25"/>
      <c r="H220" s="25"/>
    </row>
    <row r="221" spans="1:8">
      <c r="A221" s="39">
        <v>287</v>
      </c>
      <c r="B221" s="509" t="s">
        <v>103</v>
      </c>
      <c r="C221" s="51">
        <v>362.5</v>
      </c>
      <c r="D221" s="52">
        <v>0.73307920823858042</v>
      </c>
      <c r="E221" s="81">
        <f>Tabela18[[#This Row],[Total de Alunos]]*Tabela18[[#This Row],[IACM Unidades]]</f>
        <v>265.74121298648538</v>
      </c>
      <c r="F221" s="25"/>
      <c r="G221" s="25"/>
      <c r="H221" s="25"/>
    </row>
    <row r="222" spans="1:8">
      <c r="A222" s="39">
        <v>289</v>
      </c>
      <c r="B222" s="509" t="s">
        <v>212</v>
      </c>
      <c r="C222" s="51">
        <v>375.5</v>
      </c>
      <c r="D222" s="52">
        <v>0.76630669205139701</v>
      </c>
      <c r="E222" s="81">
        <f>Tabela18[[#This Row],[Total de Alunos]]*Tabela18[[#This Row],[IACM Unidades]]</f>
        <v>287.74816286529961</v>
      </c>
      <c r="F222" s="25"/>
      <c r="G222" s="25"/>
      <c r="H222" s="25"/>
    </row>
    <row r="223" spans="1:8">
      <c r="A223" s="39">
        <v>293</v>
      </c>
      <c r="B223" s="509" t="s">
        <v>17</v>
      </c>
      <c r="C223" s="51">
        <v>376</v>
      </c>
      <c r="D223" s="52">
        <v>0.755</v>
      </c>
      <c r="E223" s="81">
        <f>Tabela18[[#This Row],[Total de Alunos]]*Tabela18[[#This Row],[IACM Unidades]]</f>
        <v>283.88</v>
      </c>
      <c r="F223" s="25"/>
      <c r="G223" s="25"/>
      <c r="H223" s="25"/>
    </row>
    <row r="224" spans="1:8">
      <c r="A224" s="38">
        <v>295</v>
      </c>
      <c r="B224" s="509" t="s">
        <v>11</v>
      </c>
      <c r="C224" s="51">
        <v>567.5</v>
      </c>
      <c r="D224" s="52">
        <v>0.69680990547468558</v>
      </c>
      <c r="E224" s="81">
        <f>Tabela18[[#This Row],[Total de Alunos]]*Tabela18[[#This Row],[IACM Unidades]]</f>
        <v>395.43962135688406</v>
      </c>
      <c r="F224" s="25"/>
      <c r="G224" s="25"/>
      <c r="H224" s="25"/>
    </row>
    <row r="225" spans="1:8">
      <c r="A225" s="41">
        <v>300</v>
      </c>
      <c r="B225" s="515" t="s">
        <v>223</v>
      </c>
      <c r="C225" s="53">
        <v>556</v>
      </c>
      <c r="D225" s="54">
        <v>0.87142857142857144</v>
      </c>
      <c r="E225" s="81">
        <f>Tabela18[[#This Row],[Total de Alunos]]*Tabela18[[#This Row],[IACM Unidades]]</f>
        <v>484.51428571428573</v>
      </c>
      <c r="F225" s="25"/>
      <c r="G225" s="25"/>
      <c r="H225" s="25"/>
    </row>
    <row r="226" spans="1:8">
      <c r="F226" s="25"/>
      <c r="G226" s="25"/>
      <c r="H226" s="25"/>
    </row>
  </sheetData>
  <mergeCells count="4">
    <mergeCell ref="F4:H5"/>
    <mergeCell ref="F6:H7"/>
    <mergeCell ref="I6:I7"/>
    <mergeCell ref="I4:I5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40487-77A0-445F-ABC6-3C3FE5C2D0F9}">
  <sheetPr>
    <tabColor theme="9" tint="0.39997558519241921"/>
  </sheetPr>
  <dimension ref="A1:I80"/>
  <sheetViews>
    <sheetView showGridLines="0" zoomScale="115" zoomScaleNormal="115" workbookViewId="0">
      <selection activeCell="I22" sqref="I22"/>
    </sheetView>
  </sheetViews>
  <sheetFormatPr defaultRowHeight="15"/>
  <cols>
    <col min="2" max="2" width="19.28515625" style="120" bestFit="1" customWidth="1"/>
    <col min="3" max="3" width="13.85546875" customWidth="1"/>
    <col min="4" max="4" width="15" customWidth="1"/>
    <col min="5" max="5" width="22.42578125" bestFit="1" customWidth="1"/>
    <col min="7" max="7" width="14.7109375" customWidth="1"/>
    <col min="8" max="8" width="14.5703125" customWidth="1"/>
  </cols>
  <sheetData>
    <row r="1" spans="1:9" ht="52.9" customHeight="1">
      <c r="A1" s="516" t="s">
        <v>639</v>
      </c>
      <c r="B1" s="516"/>
      <c r="C1" s="516"/>
      <c r="D1" s="516"/>
      <c r="E1" s="516"/>
      <c r="F1" s="516"/>
      <c r="G1" s="516"/>
      <c r="H1" s="516"/>
    </row>
    <row r="2" spans="1:9" s="120" customFormat="1" ht="45">
      <c r="A2" s="517" t="s">
        <v>572</v>
      </c>
      <c r="B2" s="517" t="s">
        <v>227</v>
      </c>
      <c r="C2" s="518" t="s">
        <v>573</v>
      </c>
      <c r="D2" s="519" t="s">
        <v>574</v>
      </c>
      <c r="E2" s="519" t="s">
        <v>575</v>
      </c>
      <c r="F2" s="520" t="s">
        <v>573</v>
      </c>
      <c r="G2" s="520" t="s">
        <v>576</v>
      </c>
      <c r="H2" s="520" t="s">
        <v>577</v>
      </c>
    </row>
    <row r="3" spans="1:9">
      <c r="A3" s="28">
        <v>2</v>
      </c>
      <c r="B3" s="521" t="s">
        <v>469</v>
      </c>
      <c r="C3" s="141">
        <v>5118.5</v>
      </c>
      <c r="D3" s="29">
        <v>0.42802957196481861</v>
      </c>
      <c r="E3" s="82">
        <f>Tabela17[[#This Row],[Total Alunos]]*Tabela17[[#This Row],[IACM Unidades]]</f>
        <v>2190.869364101924</v>
      </c>
      <c r="F3" s="158">
        <f>SUM(C3:C79)</f>
        <v>90620</v>
      </c>
      <c r="G3" s="32">
        <f>SUM(E3:E79)</f>
        <v>64484.622688679658</v>
      </c>
      <c r="H3" s="24">
        <f>TRUNC(G3/F3,4)</f>
        <v>0.71150000000000002</v>
      </c>
    </row>
    <row r="4" spans="1:9">
      <c r="A4" s="28">
        <v>3</v>
      </c>
      <c r="B4" s="522" t="s">
        <v>470</v>
      </c>
      <c r="C4" s="141">
        <v>2597.5</v>
      </c>
      <c r="D4" s="29">
        <v>0.73338336931430237</v>
      </c>
      <c r="E4" s="82">
        <f>Tabela17[[#This Row],[Total Alunos]]*Tabela17[[#This Row],[IACM Unidades]]</f>
        <v>1904.9633017939004</v>
      </c>
      <c r="F4" s="25"/>
      <c r="G4" s="25"/>
      <c r="H4" s="25"/>
    </row>
    <row r="5" spans="1:9">
      <c r="A5" s="28">
        <v>4</v>
      </c>
      <c r="B5" s="522" t="s">
        <v>471</v>
      </c>
      <c r="C5" s="141">
        <v>2722.5</v>
      </c>
      <c r="D5" s="29">
        <v>0.76500000000000001</v>
      </c>
      <c r="E5" s="82">
        <f>Tabela17[[#This Row],[Total Alunos]]*Tabela17[[#This Row],[IACM Unidades]]</f>
        <v>2082.7125000000001</v>
      </c>
      <c r="F5" s="182" t="s">
        <v>578</v>
      </c>
      <c r="G5" s="182"/>
      <c r="H5" s="182"/>
      <c r="I5" s="185" t="s">
        <v>545</v>
      </c>
    </row>
    <row r="6" spans="1:9">
      <c r="A6" s="28">
        <v>5</v>
      </c>
      <c r="B6" s="521" t="s">
        <v>472</v>
      </c>
      <c r="C6" s="141">
        <v>2626</v>
      </c>
      <c r="D6" s="29">
        <v>0.76749999999999996</v>
      </c>
      <c r="E6" s="82">
        <f>Tabela17[[#This Row],[Total Alunos]]*Tabela17[[#This Row],[IACM Unidades]]</f>
        <v>2015.4549999999999</v>
      </c>
      <c r="F6" s="182"/>
      <c r="G6" s="182"/>
      <c r="H6" s="182"/>
      <c r="I6" s="185"/>
    </row>
    <row r="7" spans="1:9">
      <c r="A7" s="28">
        <v>20</v>
      </c>
      <c r="B7" s="521" t="s">
        <v>473</v>
      </c>
      <c r="C7" s="141">
        <v>1219</v>
      </c>
      <c r="D7" s="29">
        <v>0.70851108297355159</v>
      </c>
      <c r="E7" s="82">
        <f>Tabela17[[#This Row],[Total Alunos]]*Tabela17[[#This Row],[IACM Unidades]]</f>
        <v>863.67501014475943</v>
      </c>
      <c r="F7" s="183">
        <f>H3</f>
        <v>0.71150000000000002</v>
      </c>
      <c r="G7" s="183"/>
      <c r="H7" s="183"/>
      <c r="I7" s="184">
        <f>IF(F7&gt;=0.95,100%,IF(F7&gt;=0.9,95%,IF(F7&gt;=0.85,90%,IF(F7&gt;=0.8,85%,IF(F7&gt;=0.75,80%,IF(F7&gt;=0.7,75%,IF(F7&gt;=0.65,70%,IF(F7&gt;=0.6,65%,IF(F7&gt;=0.55,60%,IF(F7&gt;=0.5,55%,IF(F7&gt;=0.45,50%,IF(F7&gt;=0.40625,45%,0))))))))))))</f>
        <v>0.75</v>
      </c>
    </row>
    <row r="8" spans="1:9">
      <c r="A8" s="28">
        <v>21</v>
      </c>
      <c r="B8" s="521" t="s">
        <v>474</v>
      </c>
      <c r="C8" s="141">
        <v>1798.5</v>
      </c>
      <c r="D8" s="29">
        <v>0.72572662867948168</v>
      </c>
      <c r="E8" s="82">
        <f>Tabela17[[#This Row],[Total Alunos]]*Tabela17[[#This Row],[IACM Unidades]]</f>
        <v>1305.2193416800478</v>
      </c>
      <c r="F8" s="183"/>
      <c r="G8" s="183"/>
      <c r="H8" s="183"/>
      <c r="I8" s="184"/>
    </row>
    <row r="9" spans="1:9">
      <c r="A9" s="28">
        <v>22</v>
      </c>
      <c r="B9" s="521" t="s">
        <v>475</v>
      </c>
      <c r="C9" s="141">
        <v>1600</v>
      </c>
      <c r="D9" s="29">
        <v>0.76300000000000001</v>
      </c>
      <c r="E9" s="82">
        <f>Tabela17[[#This Row],[Total Alunos]]*Tabela17[[#This Row],[IACM Unidades]]</f>
        <v>1220.8</v>
      </c>
      <c r="F9" s="25"/>
      <c r="G9" s="25"/>
      <c r="H9" s="25"/>
    </row>
    <row r="10" spans="1:9">
      <c r="A10" s="28">
        <v>105</v>
      </c>
      <c r="B10" s="522" t="s">
        <v>476</v>
      </c>
      <c r="C10" s="141">
        <v>1597</v>
      </c>
      <c r="D10" s="29">
        <v>0.91299999999999992</v>
      </c>
      <c r="E10" s="82">
        <f>Tabela17[[#This Row],[Total Alunos]]*Tabela17[[#This Row],[IACM Unidades]]</f>
        <v>1458.0609999999999</v>
      </c>
      <c r="F10" s="25"/>
      <c r="G10" s="25"/>
      <c r="H10" s="25"/>
    </row>
    <row r="11" spans="1:9">
      <c r="A11" s="28">
        <v>106</v>
      </c>
      <c r="B11" s="522" t="s">
        <v>477</v>
      </c>
      <c r="C11" s="141">
        <v>1670</v>
      </c>
      <c r="D11" s="29">
        <v>0.745</v>
      </c>
      <c r="E11" s="82">
        <f>Tabela17[[#This Row],[Total Alunos]]*Tabela17[[#This Row],[IACM Unidades]]</f>
        <v>1244.1500000000001</v>
      </c>
      <c r="F11" s="25"/>
      <c r="G11" s="25"/>
      <c r="H11" s="25"/>
    </row>
    <row r="12" spans="1:9">
      <c r="A12" s="28">
        <v>109</v>
      </c>
      <c r="B12" s="521" t="s">
        <v>478</v>
      </c>
      <c r="C12" s="141">
        <v>1793.5</v>
      </c>
      <c r="D12" s="29">
        <v>0.68501000000000001</v>
      </c>
      <c r="E12" s="82">
        <f>Tabela17[[#This Row],[Total Alunos]]*Tabela17[[#This Row],[IACM Unidades]]</f>
        <v>1228.565435</v>
      </c>
      <c r="F12" s="25"/>
      <c r="G12" s="25"/>
      <c r="H12" s="25"/>
    </row>
    <row r="13" spans="1:9">
      <c r="A13" s="28">
        <v>111</v>
      </c>
      <c r="B13" s="521" t="s">
        <v>479</v>
      </c>
      <c r="C13" s="141">
        <v>2531</v>
      </c>
      <c r="D13" s="29">
        <v>0.80865000000000009</v>
      </c>
      <c r="E13" s="82">
        <f>Tabela17[[#This Row],[Total Alunos]]*Tabela17[[#This Row],[IACM Unidades]]</f>
        <v>2046.6931500000003</v>
      </c>
      <c r="F13" s="25"/>
      <c r="G13" s="25"/>
      <c r="H13" s="25"/>
    </row>
    <row r="14" spans="1:9">
      <c r="A14" s="28">
        <v>112</v>
      </c>
      <c r="B14" s="521" t="s">
        <v>480</v>
      </c>
      <c r="C14" s="141">
        <v>1453</v>
      </c>
      <c r="D14" s="29">
        <v>0.50514910750992048</v>
      </c>
      <c r="E14" s="82">
        <f>Tabela17[[#This Row],[Total Alunos]]*Tabela17[[#This Row],[IACM Unidades]]</f>
        <v>733.98165321191448</v>
      </c>
      <c r="F14" s="25"/>
      <c r="G14" s="25"/>
      <c r="H14" s="25"/>
    </row>
    <row r="15" spans="1:9">
      <c r="A15" s="28">
        <v>113</v>
      </c>
      <c r="B15" s="521" t="s">
        <v>481</v>
      </c>
      <c r="C15" s="141">
        <v>1864</v>
      </c>
      <c r="D15" s="29">
        <v>0.75498999999999994</v>
      </c>
      <c r="E15" s="82">
        <f>Tabela17[[#This Row],[Total Alunos]]*Tabela17[[#This Row],[IACM Unidades]]</f>
        <v>1407.3013599999999</v>
      </c>
      <c r="F15" s="25"/>
      <c r="G15" s="25"/>
      <c r="H15" s="25"/>
    </row>
    <row r="16" spans="1:9">
      <c r="A16" s="28">
        <v>114</v>
      </c>
      <c r="B16" s="522" t="s">
        <v>482</v>
      </c>
      <c r="C16" s="141">
        <v>1781</v>
      </c>
      <c r="D16" s="29">
        <v>0.64071</v>
      </c>
      <c r="E16" s="82">
        <f>Tabela17[[#This Row],[Total Alunos]]*Tabela17[[#This Row],[IACM Unidades]]</f>
        <v>1141.1045099999999</v>
      </c>
      <c r="F16" s="25"/>
      <c r="G16" s="25"/>
      <c r="H16" s="25"/>
    </row>
    <row r="17" spans="1:8">
      <c r="A17" s="28">
        <v>119</v>
      </c>
      <c r="B17" s="522" t="s">
        <v>483</v>
      </c>
      <c r="C17" s="141">
        <v>972.5</v>
      </c>
      <c r="D17" s="29">
        <v>0.67915230314657504</v>
      </c>
      <c r="E17" s="82">
        <f>Tabela17[[#This Row],[Total Alunos]]*Tabela17[[#This Row],[IACM Unidades]]</f>
        <v>660.47561481004425</v>
      </c>
      <c r="F17" s="25"/>
      <c r="G17" s="25"/>
      <c r="H17" s="25"/>
    </row>
    <row r="18" spans="1:8">
      <c r="A18" s="28">
        <v>120</v>
      </c>
      <c r="B18" s="521" t="s">
        <v>484</v>
      </c>
      <c r="C18" s="141">
        <v>1016.5</v>
      </c>
      <c r="D18" s="29">
        <v>0.375</v>
      </c>
      <c r="E18" s="82">
        <f>Tabela17[[#This Row],[Total Alunos]]*Tabela17[[#This Row],[IACM Unidades]]</f>
        <v>381.1875</v>
      </c>
      <c r="F18" s="25"/>
      <c r="G18" s="25"/>
      <c r="H18" s="25"/>
    </row>
    <row r="19" spans="1:8">
      <c r="A19" s="28">
        <v>121</v>
      </c>
      <c r="B19" s="521" t="s">
        <v>485</v>
      </c>
      <c r="C19" s="141">
        <v>1207</v>
      </c>
      <c r="D19" s="29">
        <v>0.87498999999999993</v>
      </c>
      <c r="E19" s="82">
        <f>Tabela17[[#This Row],[Total Alunos]]*Tabela17[[#This Row],[IACM Unidades]]</f>
        <v>1056.11293</v>
      </c>
      <c r="F19" s="25"/>
      <c r="G19" s="25"/>
      <c r="H19" s="25"/>
    </row>
    <row r="20" spans="1:8">
      <c r="A20" s="28">
        <v>126</v>
      </c>
      <c r="B20" s="521" t="s">
        <v>486</v>
      </c>
      <c r="C20" s="141">
        <v>1197.5</v>
      </c>
      <c r="D20" s="29">
        <v>0.85001000000000004</v>
      </c>
      <c r="E20" s="82">
        <f>Tabela17[[#This Row],[Total Alunos]]*Tabela17[[#This Row],[IACM Unidades]]</f>
        <v>1017.886975</v>
      </c>
      <c r="F20" s="25"/>
      <c r="G20" s="25"/>
      <c r="H20" s="25"/>
    </row>
    <row r="21" spans="1:8">
      <c r="A21" s="28">
        <v>127</v>
      </c>
      <c r="B21" s="521" t="s">
        <v>487</v>
      </c>
      <c r="C21" s="141">
        <v>933</v>
      </c>
      <c r="D21" s="29">
        <v>0.86499999999999999</v>
      </c>
      <c r="E21" s="82">
        <f>Tabela17[[#This Row],[Total Alunos]]*Tabela17[[#This Row],[IACM Unidades]]</f>
        <v>807.04499999999996</v>
      </c>
      <c r="F21" s="25"/>
      <c r="G21" s="25"/>
      <c r="H21" s="25"/>
    </row>
    <row r="22" spans="1:8">
      <c r="A22" s="28">
        <v>129</v>
      </c>
      <c r="B22" s="521" t="s">
        <v>488</v>
      </c>
      <c r="C22" s="141">
        <v>1939</v>
      </c>
      <c r="D22" s="29">
        <v>0.72699999999999998</v>
      </c>
      <c r="E22" s="82">
        <f>Tabela17[[#This Row],[Total Alunos]]*Tabela17[[#This Row],[IACM Unidades]]</f>
        <v>1409.653</v>
      </c>
      <c r="F22" s="25"/>
      <c r="G22" s="25"/>
      <c r="H22" s="25"/>
    </row>
    <row r="23" spans="1:8">
      <c r="A23" s="28">
        <v>130</v>
      </c>
      <c r="B23" s="521" t="s">
        <v>489</v>
      </c>
      <c r="C23" s="141">
        <v>658.5</v>
      </c>
      <c r="D23" s="29">
        <v>0.46511356877463716</v>
      </c>
      <c r="E23" s="82">
        <f>Tabela17[[#This Row],[Total Alunos]]*Tabela17[[#This Row],[IACM Unidades]]</f>
        <v>306.27728503809857</v>
      </c>
      <c r="F23" s="25"/>
      <c r="G23" s="25"/>
      <c r="H23" s="25"/>
    </row>
    <row r="24" spans="1:8">
      <c r="A24" s="28">
        <v>131</v>
      </c>
      <c r="B24" s="521" t="s">
        <v>490</v>
      </c>
      <c r="C24" s="141">
        <v>1544</v>
      </c>
      <c r="D24" s="29">
        <v>0.77500000000000002</v>
      </c>
      <c r="E24" s="82">
        <f>Tabela17[[#This Row],[Total Alunos]]*Tabela17[[#This Row],[IACM Unidades]]</f>
        <v>1196.6000000000001</v>
      </c>
      <c r="F24" s="25"/>
      <c r="G24" s="25"/>
      <c r="H24" s="25"/>
    </row>
    <row r="25" spans="1:8">
      <c r="A25" s="28">
        <v>132</v>
      </c>
      <c r="B25" s="521" t="s">
        <v>491</v>
      </c>
      <c r="C25" s="141">
        <v>1733</v>
      </c>
      <c r="D25" s="29">
        <v>0.78498999999999997</v>
      </c>
      <c r="E25" s="82">
        <f>Tabela17[[#This Row],[Total Alunos]]*Tabela17[[#This Row],[IACM Unidades]]</f>
        <v>1360.3876699999998</v>
      </c>
      <c r="F25" s="25"/>
      <c r="G25" s="25"/>
      <c r="H25" s="25"/>
    </row>
    <row r="26" spans="1:8">
      <c r="A26" s="28">
        <v>133</v>
      </c>
      <c r="B26" s="521" t="s">
        <v>492</v>
      </c>
      <c r="C26" s="141">
        <v>1022.5</v>
      </c>
      <c r="D26" s="29">
        <v>0.45911624915779514</v>
      </c>
      <c r="E26" s="82">
        <f>Tabela17[[#This Row],[Total Alunos]]*Tabela17[[#This Row],[IACM Unidades]]</f>
        <v>469.44636476384551</v>
      </c>
      <c r="F26" s="25"/>
      <c r="G26" s="25"/>
      <c r="H26" s="25"/>
    </row>
    <row r="27" spans="1:8">
      <c r="A27" s="28">
        <v>137</v>
      </c>
      <c r="B27" s="522" t="s">
        <v>493</v>
      </c>
      <c r="C27" s="141">
        <v>1857.5</v>
      </c>
      <c r="D27" s="29">
        <v>0.83</v>
      </c>
      <c r="E27" s="82">
        <f>Tabela17[[#This Row],[Total Alunos]]*Tabela17[[#This Row],[IACM Unidades]]</f>
        <v>1541.7249999999999</v>
      </c>
      <c r="F27" s="25"/>
      <c r="G27" s="25"/>
      <c r="H27" s="25"/>
    </row>
    <row r="28" spans="1:8">
      <c r="A28" s="28">
        <v>143</v>
      </c>
      <c r="B28" s="521" t="s">
        <v>494</v>
      </c>
      <c r="C28" s="141">
        <v>1962</v>
      </c>
      <c r="D28" s="29">
        <v>0.68358000000000008</v>
      </c>
      <c r="E28" s="82">
        <f>Tabela17[[#This Row],[Total Alunos]]*Tabela17[[#This Row],[IACM Unidades]]</f>
        <v>1341.1839600000001</v>
      </c>
      <c r="F28" s="25"/>
      <c r="G28" s="25"/>
      <c r="H28" s="25"/>
    </row>
    <row r="29" spans="1:8">
      <c r="A29" s="28">
        <v>146</v>
      </c>
      <c r="B29" s="521" t="s">
        <v>495</v>
      </c>
      <c r="C29" s="141">
        <v>2115.5</v>
      </c>
      <c r="D29" s="29">
        <v>0.81868126174754408</v>
      </c>
      <c r="E29" s="82">
        <f>Tabela17[[#This Row],[Total Alunos]]*Tabela17[[#This Row],[IACM Unidades]]</f>
        <v>1731.9202092269295</v>
      </c>
      <c r="F29" s="25"/>
      <c r="G29" s="25"/>
      <c r="H29" s="25"/>
    </row>
    <row r="30" spans="1:8">
      <c r="A30" s="28">
        <v>155</v>
      </c>
      <c r="B30" s="521" t="s">
        <v>496</v>
      </c>
      <c r="C30" s="141">
        <v>1025</v>
      </c>
      <c r="D30" s="29">
        <v>0.6</v>
      </c>
      <c r="E30" s="82">
        <f>Tabela17[[#This Row],[Total Alunos]]*Tabela17[[#This Row],[IACM Unidades]]</f>
        <v>615</v>
      </c>
      <c r="F30" s="25"/>
      <c r="G30" s="25"/>
      <c r="H30" s="25"/>
    </row>
    <row r="31" spans="1:8">
      <c r="A31" s="28">
        <v>157</v>
      </c>
      <c r="B31" s="521" t="s">
        <v>497</v>
      </c>
      <c r="C31" s="141">
        <v>1440</v>
      </c>
      <c r="D31" s="29">
        <v>0.71315983614847156</v>
      </c>
      <c r="E31" s="82">
        <f>Tabela17[[#This Row],[Total Alunos]]*Tabela17[[#This Row],[IACM Unidades]]</f>
        <v>1026.950164053799</v>
      </c>
      <c r="F31" s="25"/>
      <c r="G31" s="25"/>
      <c r="H31" s="25"/>
    </row>
    <row r="32" spans="1:8">
      <c r="A32" s="28">
        <v>160</v>
      </c>
      <c r="B32" s="521" t="s">
        <v>498</v>
      </c>
      <c r="C32" s="141">
        <v>818</v>
      </c>
      <c r="D32" s="29">
        <v>0.76</v>
      </c>
      <c r="E32" s="82">
        <f>Tabela17[[#This Row],[Total Alunos]]*Tabela17[[#This Row],[IACM Unidades]]</f>
        <v>621.68000000000006</v>
      </c>
      <c r="F32" s="25"/>
      <c r="G32" s="25"/>
      <c r="H32" s="25"/>
    </row>
    <row r="33" spans="1:8">
      <c r="A33" s="28">
        <v>163</v>
      </c>
      <c r="B33" s="521" t="s">
        <v>499</v>
      </c>
      <c r="C33" s="141">
        <v>1078.5</v>
      </c>
      <c r="D33" s="29">
        <v>0.67159137145974812</v>
      </c>
      <c r="E33" s="82">
        <f>Tabela17[[#This Row],[Total Alunos]]*Tabela17[[#This Row],[IACM Unidades]]</f>
        <v>724.3112941193383</v>
      </c>
      <c r="F33" s="25"/>
      <c r="G33" s="25"/>
      <c r="H33" s="25"/>
    </row>
    <row r="34" spans="1:8">
      <c r="A34" s="28">
        <v>167</v>
      </c>
      <c r="B34" s="521" t="s">
        <v>500</v>
      </c>
      <c r="C34" s="141">
        <v>1411</v>
      </c>
      <c r="D34" s="29">
        <v>0.66299999999999992</v>
      </c>
      <c r="E34" s="82">
        <f>Tabela17[[#This Row],[Total Alunos]]*Tabela17[[#This Row],[IACM Unidades]]</f>
        <v>935.49299999999994</v>
      </c>
      <c r="F34" s="25"/>
      <c r="G34" s="25"/>
      <c r="H34" s="25"/>
    </row>
    <row r="35" spans="1:8">
      <c r="A35" s="28">
        <v>168</v>
      </c>
      <c r="B35" s="522" t="s">
        <v>501</v>
      </c>
      <c r="C35" s="141">
        <v>1585</v>
      </c>
      <c r="D35" s="29">
        <v>0.93498999999999999</v>
      </c>
      <c r="E35" s="82">
        <f>Tabela17[[#This Row],[Total Alunos]]*Tabela17[[#This Row],[IACM Unidades]]</f>
        <v>1481.9591499999999</v>
      </c>
      <c r="F35" s="25"/>
      <c r="G35" s="25"/>
      <c r="H35" s="25"/>
    </row>
    <row r="36" spans="1:8">
      <c r="A36" s="28">
        <v>171</v>
      </c>
      <c r="B36" s="522" t="s">
        <v>502</v>
      </c>
      <c r="C36" s="141">
        <v>952.5</v>
      </c>
      <c r="D36" s="29">
        <v>0.50768890077645645</v>
      </c>
      <c r="E36" s="82">
        <f>Tabela17[[#This Row],[Total Alunos]]*Tabela17[[#This Row],[IACM Unidades]]</f>
        <v>483.57367798957478</v>
      </c>
      <c r="F36" s="25"/>
      <c r="G36" s="25"/>
      <c r="H36" s="25"/>
    </row>
    <row r="37" spans="1:8">
      <c r="A37" s="28">
        <v>173</v>
      </c>
      <c r="B37" s="522" t="s">
        <v>503</v>
      </c>
      <c r="C37" s="141">
        <v>690.5</v>
      </c>
      <c r="D37" s="29">
        <v>0.5497364176715468</v>
      </c>
      <c r="E37" s="82">
        <f>Tabela17[[#This Row],[Total Alunos]]*Tabela17[[#This Row],[IACM Unidades]]</f>
        <v>379.59299640220308</v>
      </c>
      <c r="F37" s="25"/>
      <c r="G37" s="25"/>
      <c r="H37" s="25"/>
    </row>
    <row r="38" spans="1:8">
      <c r="A38" s="28">
        <v>174</v>
      </c>
      <c r="B38" s="521" t="s">
        <v>504</v>
      </c>
      <c r="C38" s="141">
        <v>389</v>
      </c>
      <c r="D38" s="29">
        <v>0.7</v>
      </c>
      <c r="E38" s="82">
        <f>Tabela17[[#This Row],[Total Alunos]]*Tabela17[[#This Row],[IACM Unidades]]</f>
        <v>272.29999999999995</v>
      </c>
      <c r="F38" s="25"/>
      <c r="G38" s="25"/>
      <c r="H38" s="25"/>
    </row>
    <row r="39" spans="1:8">
      <c r="A39" s="28">
        <v>175</v>
      </c>
      <c r="B39" s="522" t="s">
        <v>505</v>
      </c>
      <c r="C39" s="141">
        <v>757.5</v>
      </c>
      <c r="D39" s="29">
        <v>0.52558640788236521</v>
      </c>
      <c r="E39" s="82">
        <f>Tabela17[[#This Row],[Total Alunos]]*Tabela17[[#This Row],[IACM Unidades]]</f>
        <v>398.13170397089164</v>
      </c>
      <c r="F39" s="25"/>
      <c r="G39" s="25"/>
      <c r="H39" s="25"/>
    </row>
    <row r="40" spans="1:8">
      <c r="A40" s="28">
        <v>176</v>
      </c>
      <c r="B40" s="522" t="s">
        <v>506</v>
      </c>
      <c r="C40" s="141">
        <v>1244</v>
      </c>
      <c r="D40" s="29">
        <v>0.685602982393553</v>
      </c>
      <c r="E40" s="82">
        <f>Tabela17[[#This Row],[Total Alunos]]*Tabela17[[#This Row],[IACM Unidades]]</f>
        <v>852.89011009757996</v>
      </c>
      <c r="F40" s="25"/>
      <c r="G40" s="25"/>
      <c r="H40" s="25"/>
    </row>
    <row r="41" spans="1:8">
      <c r="A41" s="28">
        <v>177</v>
      </c>
      <c r="B41" s="521" t="s">
        <v>507</v>
      </c>
      <c r="C41" s="141">
        <v>518</v>
      </c>
      <c r="D41" s="29">
        <v>0.67893916543775024</v>
      </c>
      <c r="E41" s="82">
        <f>Tabela17[[#This Row],[Total Alunos]]*Tabela17[[#This Row],[IACM Unidades]]</f>
        <v>351.69048769675464</v>
      </c>
      <c r="F41" s="25"/>
      <c r="G41" s="25"/>
      <c r="H41" s="25"/>
    </row>
    <row r="42" spans="1:8">
      <c r="A42" s="28">
        <v>178</v>
      </c>
      <c r="B42" s="521" t="s">
        <v>508</v>
      </c>
      <c r="C42" s="141">
        <v>1137.5</v>
      </c>
      <c r="D42" s="29">
        <v>0.75099999999999989</v>
      </c>
      <c r="E42" s="82">
        <f>Tabela17[[#This Row],[Total Alunos]]*Tabela17[[#This Row],[IACM Unidades]]</f>
        <v>854.26249999999982</v>
      </c>
      <c r="F42" s="25"/>
      <c r="G42" s="25"/>
      <c r="H42" s="25"/>
    </row>
    <row r="43" spans="1:8">
      <c r="A43" s="28">
        <v>182</v>
      </c>
      <c r="B43" s="521" t="s">
        <v>509</v>
      </c>
      <c r="C43" s="141">
        <v>734</v>
      </c>
      <c r="D43" s="29">
        <v>0.91998999999999997</v>
      </c>
      <c r="E43" s="82">
        <f>Tabela17[[#This Row],[Total Alunos]]*Tabela17[[#This Row],[IACM Unidades]]</f>
        <v>675.27265999999997</v>
      </c>
      <c r="F43" s="25"/>
      <c r="G43" s="25"/>
      <c r="H43" s="25"/>
    </row>
    <row r="44" spans="1:8">
      <c r="A44" s="28">
        <v>183</v>
      </c>
      <c r="B44" s="521" t="s">
        <v>510</v>
      </c>
      <c r="C44" s="141">
        <v>1054</v>
      </c>
      <c r="D44" s="29">
        <v>0.88612332881981559</v>
      </c>
      <c r="E44" s="82">
        <f>Tabela17[[#This Row],[Total Alunos]]*Tabela17[[#This Row],[IACM Unidades]]</f>
        <v>933.97398857608562</v>
      </c>
      <c r="F44" s="25"/>
      <c r="G44" s="25"/>
      <c r="H44" s="25"/>
    </row>
    <row r="45" spans="1:8">
      <c r="A45" s="28">
        <v>184</v>
      </c>
      <c r="B45" s="521" t="s">
        <v>511</v>
      </c>
      <c r="C45" s="141">
        <v>1604</v>
      </c>
      <c r="D45" s="29">
        <v>0.88900000000000001</v>
      </c>
      <c r="E45" s="82">
        <f>Tabela17[[#This Row],[Total Alunos]]*Tabela17[[#This Row],[IACM Unidades]]</f>
        <v>1425.9560000000001</v>
      </c>
      <c r="F45" s="25"/>
      <c r="G45" s="25"/>
      <c r="H45" s="25"/>
    </row>
    <row r="46" spans="1:8">
      <c r="A46" s="28">
        <v>189</v>
      </c>
      <c r="B46" s="521" t="s">
        <v>512</v>
      </c>
      <c r="C46" s="141">
        <v>709</v>
      </c>
      <c r="D46" s="29">
        <v>0.59114084009882861</v>
      </c>
      <c r="E46" s="82">
        <f>Tabela17[[#This Row],[Total Alunos]]*Tabela17[[#This Row],[IACM Unidades]]</f>
        <v>419.1188556300695</v>
      </c>
      <c r="F46" s="25"/>
      <c r="G46" s="25"/>
      <c r="H46" s="25"/>
    </row>
    <row r="47" spans="1:8">
      <c r="A47" s="28">
        <v>192</v>
      </c>
      <c r="B47" s="522" t="s">
        <v>513</v>
      </c>
      <c r="C47" s="141">
        <v>926</v>
      </c>
      <c r="D47" s="29">
        <v>0.69628842850435446</v>
      </c>
      <c r="E47" s="82">
        <f>Tabela17[[#This Row],[Total Alunos]]*Tabela17[[#This Row],[IACM Unidades]]</f>
        <v>644.76308479503223</v>
      </c>
      <c r="F47" s="25"/>
      <c r="G47" s="25"/>
      <c r="H47" s="25"/>
    </row>
    <row r="48" spans="1:8">
      <c r="A48" s="28">
        <v>196</v>
      </c>
      <c r="B48" s="521" t="s">
        <v>514</v>
      </c>
      <c r="C48" s="141">
        <v>1055.5</v>
      </c>
      <c r="D48" s="29">
        <v>0.73487605559964631</v>
      </c>
      <c r="E48" s="82">
        <f>Tabela17[[#This Row],[Total Alunos]]*Tabela17[[#This Row],[IACM Unidades]]</f>
        <v>775.66167668542664</v>
      </c>
      <c r="F48" s="25"/>
      <c r="G48" s="25"/>
      <c r="H48" s="25"/>
    </row>
    <row r="49" spans="1:8">
      <c r="A49" s="28">
        <v>204</v>
      </c>
      <c r="B49" s="522" t="s">
        <v>515</v>
      </c>
      <c r="C49" s="141">
        <v>1730</v>
      </c>
      <c r="D49" s="29">
        <v>0.65498999999999996</v>
      </c>
      <c r="E49" s="82">
        <f>Tabela17[[#This Row],[Total Alunos]]*Tabela17[[#This Row],[IACM Unidades]]</f>
        <v>1133.1326999999999</v>
      </c>
      <c r="F49" s="25"/>
      <c r="G49" s="25"/>
      <c r="H49" s="25"/>
    </row>
    <row r="50" spans="1:8">
      <c r="A50" s="28">
        <v>209</v>
      </c>
      <c r="B50" s="522" t="s">
        <v>516</v>
      </c>
      <c r="C50" s="141">
        <v>1836.5</v>
      </c>
      <c r="D50" s="29">
        <v>0.90498999999999996</v>
      </c>
      <c r="E50" s="82">
        <f>Tabela17[[#This Row],[Total Alunos]]*Tabela17[[#This Row],[IACM Unidades]]</f>
        <v>1662.0141349999999</v>
      </c>
      <c r="F50" s="25"/>
      <c r="G50" s="25"/>
      <c r="H50" s="25"/>
    </row>
    <row r="51" spans="1:8">
      <c r="A51" s="28">
        <v>216</v>
      </c>
      <c r="B51" s="521" t="s">
        <v>517</v>
      </c>
      <c r="C51" s="141">
        <v>2214</v>
      </c>
      <c r="D51" s="29">
        <v>0.42047105204679497</v>
      </c>
      <c r="E51" s="82">
        <f>Tabela17[[#This Row],[Total Alunos]]*Tabela17[[#This Row],[IACM Unidades]]</f>
        <v>930.92290923160408</v>
      </c>
      <c r="F51" s="25"/>
      <c r="G51" s="25"/>
      <c r="H51" s="25"/>
    </row>
    <row r="52" spans="1:8">
      <c r="A52" s="28">
        <v>217</v>
      </c>
      <c r="B52" s="521" t="s">
        <v>518</v>
      </c>
      <c r="C52" s="141">
        <v>755</v>
      </c>
      <c r="D52" s="29">
        <v>0.77500000000000002</v>
      </c>
      <c r="E52" s="82">
        <f>Tabela17[[#This Row],[Total Alunos]]*Tabela17[[#This Row],[IACM Unidades]]</f>
        <v>585.125</v>
      </c>
      <c r="F52" s="25"/>
      <c r="G52" s="25"/>
      <c r="H52" s="25"/>
    </row>
    <row r="53" spans="1:8">
      <c r="A53" s="28">
        <v>250</v>
      </c>
      <c r="B53" s="521" t="s">
        <v>519</v>
      </c>
      <c r="C53" s="141">
        <v>1517.5</v>
      </c>
      <c r="D53" s="29">
        <v>0.60211394096446902</v>
      </c>
      <c r="E53" s="82">
        <f>Tabela17[[#This Row],[Total Alunos]]*Tabela17[[#This Row],[IACM Unidades]]</f>
        <v>913.70790541358178</v>
      </c>
      <c r="F53" s="25"/>
      <c r="G53" s="25"/>
      <c r="H53" s="25"/>
    </row>
    <row r="54" spans="1:8">
      <c r="A54" s="28">
        <v>251</v>
      </c>
      <c r="B54" s="521" t="s">
        <v>520</v>
      </c>
      <c r="C54" s="141">
        <v>776</v>
      </c>
      <c r="D54" s="29">
        <v>0.91</v>
      </c>
      <c r="E54" s="82">
        <f>Tabela17[[#This Row],[Total Alunos]]*Tabela17[[#This Row],[IACM Unidades]]</f>
        <v>706.16</v>
      </c>
      <c r="F54" s="25"/>
      <c r="G54" s="25"/>
      <c r="H54" s="25"/>
    </row>
    <row r="55" spans="1:8">
      <c r="A55" s="28">
        <v>257</v>
      </c>
      <c r="B55" s="521" t="s">
        <v>521</v>
      </c>
      <c r="C55" s="141">
        <v>1409</v>
      </c>
      <c r="D55" s="29">
        <v>0.55379954035269452</v>
      </c>
      <c r="E55" s="82">
        <f>Tabela17[[#This Row],[Total Alunos]]*Tabela17[[#This Row],[IACM Unidades]]</f>
        <v>780.30355235694662</v>
      </c>
      <c r="F55" s="25"/>
      <c r="G55" s="25"/>
      <c r="H55" s="25"/>
    </row>
    <row r="56" spans="1:8">
      <c r="A56" s="28">
        <v>258</v>
      </c>
      <c r="B56" s="521" t="s">
        <v>522</v>
      </c>
      <c r="C56" s="141">
        <v>361.5</v>
      </c>
      <c r="D56" s="29">
        <v>0.40500000000000003</v>
      </c>
      <c r="E56" s="82">
        <f>Tabela17[[#This Row],[Total Alunos]]*Tabela17[[#This Row],[IACM Unidades]]</f>
        <v>146.4075</v>
      </c>
      <c r="F56" s="25"/>
      <c r="G56" s="25"/>
      <c r="H56" s="25"/>
    </row>
    <row r="57" spans="1:8">
      <c r="A57" s="28">
        <v>259</v>
      </c>
      <c r="B57" s="521" t="s">
        <v>523</v>
      </c>
      <c r="C57" s="141">
        <v>687.5</v>
      </c>
      <c r="D57" s="29">
        <v>0.97</v>
      </c>
      <c r="E57" s="82">
        <f>Tabela17[[#This Row],[Total Alunos]]*Tabela17[[#This Row],[IACM Unidades]]</f>
        <v>666.875</v>
      </c>
      <c r="F57" s="25"/>
      <c r="G57" s="25"/>
      <c r="H57" s="25"/>
    </row>
    <row r="58" spans="1:8">
      <c r="A58" s="28">
        <v>265</v>
      </c>
      <c r="B58" s="521" t="s">
        <v>524</v>
      </c>
      <c r="C58" s="141">
        <v>485</v>
      </c>
      <c r="D58" s="29">
        <v>0.65624433323585563</v>
      </c>
      <c r="E58" s="82">
        <f>Tabela17[[#This Row],[Total Alunos]]*Tabela17[[#This Row],[IACM Unidades]]</f>
        <v>318.27850161939</v>
      </c>
      <c r="F58" s="25"/>
      <c r="G58" s="25"/>
      <c r="H58" s="25"/>
    </row>
    <row r="59" spans="1:8">
      <c r="A59" s="28">
        <v>269</v>
      </c>
      <c r="B59" s="521" t="s">
        <v>525</v>
      </c>
      <c r="C59" s="141">
        <v>427</v>
      </c>
      <c r="D59" s="29">
        <v>0.85498999999999992</v>
      </c>
      <c r="E59" s="82">
        <f>Tabela17[[#This Row],[Total Alunos]]*Tabela17[[#This Row],[IACM Unidades]]</f>
        <v>365.08072999999996</v>
      </c>
      <c r="F59" s="25"/>
      <c r="G59" s="25"/>
      <c r="H59" s="25"/>
    </row>
    <row r="60" spans="1:8">
      <c r="A60" s="28">
        <v>270</v>
      </c>
      <c r="B60" s="523" t="s">
        <v>526</v>
      </c>
      <c r="C60" s="141">
        <v>1179</v>
      </c>
      <c r="D60" s="29">
        <v>0.44347525366552992</v>
      </c>
      <c r="E60" s="82">
        <f>Tabela17[[#This Row],[Total Alunos]]*Tabela17[[#This Row],[IACM Unidades]]</f>
        <v>522.85732407165983</v>
      </c>
      <c r="F60" s="25"/>
      <c r="G60" s="25"/>
      <c r="H60" s="25"/>
    </row>
    <row r="61" spans="1:8">
      <c r="A61" s="28">
        <v>272</v>
      </c>
      <c r="B61" s="523" t="s">
        <v>527</v>
      </c>
      <c r="C61" s="141">
        <v>909</v>
      </c>
      <c r="D61" s="29">
        <v>0.86</v>
      </c>
      <c r="E61" s="82">
        <f>Tabela17[[#This Row],[Total Alunos]]*Tabela17[[#This Row],[IACM Unidades]]</f>
        <v>781.74</v>
      </c>
      <c r="F61" s="25"/>
      <c r="G61" s="25"/>
      <c r="H61" s="25"/>
    </row>
    <row r="62" spans="1:8">
      <c r="A62" s="28">
        <v>275</v>
      </c>
      <c r="B62" s="523" t="s">
        <v>528</v>
      </c>
      <c r="C62" s="141">
        <v>423.5</v>
      </c>
      <c r="D62" s="29">
        <v>0.54</v>
      </c>
      <c r="E62" s="82">
        <f>Tabela17[[#This Row],[Total Alunos]]*Tabela17[[#This Row],[IACM Unidades]]</f>
        <v>228.69000000000003</v>
      </c>
      <c r="F62" s="25"/>
      <c r="G62" s="25"/>
      <c r="H62" s="25"/>
    </row>
    <row r="63" spans="1:8">
      <c r="A63" s="28">
        <v>276</v>
      </c>
      <c r="B63" s="523" t="s">
        <v>529</v>
      </c>
      <c r="C63" s="141">
        <v>1377</v>
      </c>
      <c r="D63" s="29">
        <v>0.88900000000000001</v>
      </c>
      <c r="E63" s="82">
        <f>Tabela17[[#This Row],[Total Alunos]]*Tabela17[[#This Row],[IACM Unidades]]</f>
        <v>1224.153</v>
      </c>
      <c r="F63" s="25"/>
      <c r="G63" s="25"/>
      <c r="H63" s="25"/>
    </row>
    <row r="64" spans="1:8">
      <c r="A64" s="28">
        <v>278</v>
      </c>
      <c r="B64" s="521" t="s">
        <v>530</v>
      </c>
      <c r="C64" s="141">
        <v>512.5</v>
      </c>
      <c r="D64" s="29">
        <v>0.77500000000000002</v>
      </c>
      <c r="E64" s="82">
        <f>Tabela17[[#This Row],[Total Alunos]]*Tabela17[[#This Row],[IACM Unidades]]</f>
        <v>397.1875</v>
      </c>
      <c r="F64" s="25"/>
      <c r="G64" s="25"/>
      <c r="H64" s="25"/>
    </row>
    <row r="65" spans="1:8">
      <c r="A65" s="28">
        <v>280</v>
      </c>
      <c r="B65" s="523" t="s">
        <v>531</v>
      </c>
      <c r="C65" s="141">
        <v>304</v>
      </c>
      <c r="D65" s="29">
        <v>0.51281379485721978</v>
      </c>
      <c r="E65" s="82">
        <f>Tabela17[[#This Row],[Total Alunos]]*Tabela17[[#This Row],[IACM Unidades]]</f>
        <v>155.8953936365948</v>
      </c>
      <c r="F65" s="25"/>
      <c r="G65" s="25"/>
      <c r="H65" s="25"/>
    </row>
    <row r="66" spans="1:8">
      <c r="A66" s="28">
        <v>283</v>
      </c>
      <c r="B66" s="523" t="s">
        <v>532</v>
      </c>
      <c r="C66" s="141">
        <v>897.5</v>
      </c>
      <c r="D66" s="29">
        <v>0.94501000000000002</v>
      </c>
      <c r="E66" s="82">
        <f>Tabela17[[#This Row],[Total Alunos]]*Tabela17[[#This Row],[IACM Unidades]]</f>
        <v>848.14647500000001</v>
      </c>
      <c r="F66" s="25"/>
      <c r="G66" s="25"/>
      <c r="H66" s="25"/>
    </row>
    <row r="67" spans="1:8">
      <c r="A67" s="28">
        <v>284</v>
      </c>
      <c r="B67" s="523" t="s">
        <v>533</v>
      </c>
      <c r="C67" s="141">
        <v>919.5</v>
      </c>
      <c r="D67" s="29">
        <v>0.82999000000000001</v>
      </c>
      <c r="E67" s="82">
        <f>Tabela17[[#This Row],[Total Alunos]]*Tabela17[[#This Row],[IACM Unidades]]</f>
        <v>763.17580499999997</v>
      </c>
      <c r="F67" s="25"/>
      <c r="G67" s="25"/>
      <c r="H67" s="25"/>
    </row>
    <row r="68" spans="1:8">
      <c r="A68" s="28">
        <v>286</v>
      </c>
      <c r="B68" s="521" t="s">
        <v>534</v>
      </c>
      <c r="C68" s="141">
        <v>258</v>
      </c>
      <c r="D68" s="29">
        <v>0.34499999999999997</v>
      </c>
      <c r="E68" s="82">
        <f>Tabela17[[#This Row],[Total Alunos]]*Tabela17[[#This Row],[IACM Unidades]]</f>
        <v>89.009999999999991</v>
      </c>
      <c r="F68" s="25"/>
      <c r="G68" s="25"/>
      <c r="H68" s="25"/>
    </row>
    <row r="69" spans="1:8">
      <c r="A69" s="28">
        <v>288</v>
      </c>
      <c r="B69" s="521" t="s">
        <v>535</v>
      </c>
      <c r="C69" s="141">
        <v>642.5</v>
      </c>
      <c r="D69" s="29">
        <v>0.87498999999999993</v>
      </c>
      <c r="E69" s="82">
        <f>Tabela17[[#This Row],[Total Alunos]]*Tabela17[[#This Row],[IACM Unidades]]</f>
        <v>562.18107499999996</v>
      </c>
      <c r="F69" s="25"/>
      <c r="G69" s="25"/>
      <c r="H69" s="25"/>
    </row>
    <row r="70" spans="1:8">
      <c r="A70" s="28">
        <v>290</v>
      </c>
      <c r="B70" s="522" t="s">
        <v>536</v>
      </c>
      <c r="C70" s="141">
        <v>374.5</v>
      </c>
      <c r="D70" s="29">
        <v>0.55245158455586463</v>
      </c>
      <c r="E70" s="82">
        <f>Tabela17[[#This Row],[Total Alunos]]*Tabela17[[#This Row],[IACM Unidades]]</f>
        <v>206.89311841617129</v>
      </c>
      <c r="F70" s="25"/>
      <c r="G70" s="25"/>
      <c r="H70" s="25"/>
    </row>
    <row r="71" spans="1:8">
      <c r="A71" s="30">
        <v>291</v>
      </c>
      <c r="B71" s="521" t="s">
        <v>537</v>
      </c>
      <c r="C71" s="141">
        <v>284</v>
      </c>
      <c r="D71" s="29">
        <v>0.6913312645967864</v>
      </c>
      <c r="E71" s="82">
        <f>Tabela17[[#This Row],[Total Alunos]]*Tabela17[[#This Row],[IACM Unidades]]</f>
        <v>196.33807914548734</v>
      </c>
      <c r="F71" s="25"/>
      <c r="G71" s="25"/>
      <c r="H71" s="25"/>
    </row>
    <row r="72" spans="1:8">
      <c r="A72" s="30">
        <v>292</v>
      </c>
      <c r="B72" s="521" t="s">
        <v>538</v>
      </c>
      <c r="C72" s="141">
        <v>525</v>
      </c>
      <c r="D72" s="29">
        <v>0.73499999999999999</v>
      </c>
      <c r="E72" s="82">
        <f>Tabela17[[#This Row],[Total Alunos]]*Tabela17[[#This Row],[IACM Unidades]]</f>
        <v>385.875</v>
      </c>
      <c r="F72" s="25"/>
      <c r="G72" s="25"/>
      <c r="H72" s="25"/>
    </row>
    <row r="73" spans="1:8">
      <c r="A73" s="30">
        <v>294</v>
      </c>
      <c r="B73" s="521" t="s">
        <v>539</v>
      </c>
      <c r="C73" s="141">
        <v>438.5</v>
      </c>
      <c r="D73" s="29">
        <v>0.92500000000000004</v>
      </c>
      <c r="E73" s="82">
        <f>Tabela17[[#This Row],[Total Alunos]]*Tabela17[[#This Row],[IACM Unidades]]</f>
        <v>405.61250000000001</v>
      </c>
      <c r="F73" s="25"/>
      <c r="G73" s="25"/>
      <c r="H73" s="25"/>
    </row>
    <row r="74" spans="1:8">
      <c r="A74" s="30">
        <v>296</v>
      </c>
      <c r="B74" s="521" t="s">
        <v>540</v>
      </c>
      <c r="C74" s="141">
        <v>545.5</v>
      </c>
      <c r="D74" s="29">
        <v>0.84</v>
      </c>
      <c r="E74" s="82">
        <f>Tabela17[[#This Row],[Total Alunos]]*Tabela17[[#This Row],[IACM Unidades]]</f>
        <v>458.21999999999997</v>
      </c>
      <c r="F74" s="25"/>
      <c r="G74" s="25"/>
      <c r="H74" s="25"/>
    </row>
    <row r="75" spans="1:8">
      <c r="A75" s="31">
        <v>297</v>
      </c>
      <c r="B75" s="524" t="s">
        <v>541</v>
      </c>
      <c r="C75" s="141">
        <v>371</v>
      </c>
      <c r="D75" s="29">
        <v>0.95499999999999996</v>
      </c>
      <c r="E75" s="82">
        <f>Tabela17[[#This Row],[Total Alunos]]*Tabela17[[#This Row],[IACM Unidades]]</f>
        <v>354.30500000000001</v>
      </c>
      <c r="F75" s="25"/>
      <c r="G75" s="25"/>
      <c r="H75" s="25"/>
    </row>
    <row r="76" spans="1:8">
      <c r="A76" s="31">
        <v>298</v>
      </c>
      <c r="B76" s="524" t="s">
        <v>542</v>
      </c>
      <c r="C76" s="141">
        <v>183.5</v>
      </c>
      <c r="D76" s="29">
        <v>0.75</v>
      </c>
      <c r="E76" s="82">
        <f>Tabela17[[#This Row],[Total Alunos]]*Tabela17[[#This Row],[IACM Unidades]]</f>
        <v>137.625</v>
      </c>
      <c r="F76" s="25"/>
      <c r="G76" s="25"/>
      <c r="H76" s="25"/>
    </row>
    <row r="77" spans="1:8">
      <c r="A77" s="31">
        <v>299</v>
      </c>
      <c r="B77" s="524" t="s">
        <v>543</v>
      </c>
      <c r="C77" s="141">
        <v>254.5</v>
      </c>
      <c r="D77" s="29">
        <v>1</v>
      </c>
      <c r="E77" s="82">
        <f>Tabela17[[#This Row],[Total Alunos]]*Tabela17[[#This Row],[IACM Unidades]]</f>
        <v>254.5</v>
      </c>
      <c r="F77" s="25"/>
      <c r="G77" s="25"/>
      <c r="H77" s="25"/>
    </row>
    <row r="78" spans="1:8">
      <c r="A78" s="31">
        <v>301</v>
      </c>
      <c r="B78" s="524" t="s">
        <v>544</v>
      </c>
      <c r="C78" s="141">
        <v>281.5</v>
      </c>
      <c r="D78" s="29">
        <v>0.95</v>
      </c>
      <c r="E78" s="82">
        <f>Tabela17[[#This Row],[Total Alunos]]*Tabela17[[#This Row],[IACM Unidades]]</f>
        <v>267.42500000000001</v>
      </c>
      <c r="F78" s="25"/>
      <c r="G78" s="25"/>
      <c r="H78" s="25"/>
    </row>
    <row r="79" spans="1:8">
      <c r="A79" s="31">
        <v>305</v>
      </c>
      <c r="B79" s="524" t="s">
        <v>547</v>
      </c>
      <c r="C79" s="141">
        <v>81.5</v>
      </c>
      <c r="D79" s="29">
        <v>0.5</v>
      </c>
      <c r="E79" s="82">
        <f>Tabela17[[#This Row],[Total Alunos]]*Tabela17[[#This Row],[IACM Unidades]]</f>
        <v>40.75</v>
      </c>
    </row>
    <row r="80" spans="1:8">
      <c r="A80" s="1"/>
      <c r="B80" s="147"/>
      <c r="C80" s="23"/>
      <c r="D80" s="42"/>
      <c r="E80" s="13"/>
    </row>
  </sheetData>
  <mergeCells count="5">
    <mergeCell ref="F5:H6"/>
    <mergeCell ref="F7:H8"/>
    <mergeCell ref="A1:H1"/>
    <mergeCell ref="I7:I8"/>
    <mergeCell ref="I5:I6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BB842-E517-4009-950A-336899036BA8}">
  <sheetPr>
    <tabColor theme="9" tint="0.59999389629810485"/>
  </sheetPr>
  <dimension ref="A1:L4"/>
  <sheetViews>
    <sheetView showGridLines="0" workbookViewId="0">
      <selection activeCell="H16" sqref="H16"/>
    </sheetView>
  </sheetViews>
  <sheetFormatPr defaultRowHeight="15"/>
  <cols>
    <col min="2" max="2" width="25.140625" customWidth="1"/>
    <col min="6" max="6" width="11.5703125" customWidth="1"/>
  </cols>
  <sheetData>
    <row r="1" spans="1:12" ht="24.6" customHeight="1">
      <c r="A1" s="188" t="s">
        <v>650</v>
      </c>
      <c r="B1" s="189"/>
      <c r="C1" s="528" t="s">
        <v>631</v>
      </c>
      <c r="D1" s="529"/>
      <c r="E1" s="529"/>
      <c r="F1" s="529"/>
      <c r="G1" s="529"/>
      <c r="H1" s="530"/>
      <c r="I1" s="530"/>
      <c r="J1" s="530"/>
      <c r="K1" s="530"/>
      <c r="L1" s="530"/>
    </row>
    <row r="2" spans="1:12" ht="27.6" customHeight="1">
      <c r="A2" s="186"/>
      <c r="B2" s="187"/>
      <c r="C2" s="190" t="s">
        <v>710</v>
      </c>
      <c r="D2" s="191"/>
      <c r="E2" s="191"/>
      <c r="F2" s="70">
        <v>20</v>
      </c>
      <c r="G2" s="71"/>
      <c r="H2" s="192" t="s">
        <v>711</v>
      </c>
      <c r="I2" s="193"/>
      <c r="J2" s="193"/>
      <c r="K2" s="148">
        <v>20</v>
      </c>
      <c r="L2" s="149"/>
    </row>
    <row r="3" spans="1:12" s="120" customFormat="1" ht="25.5">
      <c r="A3" s="525" t="s">
        <v>0</v>
      </c>
      <c r="B3" s="526" t="s">
        <v>227</v>
      </c>
      <c r="C3" s="527" t="s">
        <v>700</v>
      </c>
      <c r="D3" s="527" t="s">
        <v>582</v>
      </c>
      <c r="E3" s="527" t="s">
        <v>648</v>
      </c>
      <c r="F3" s="527" t="s">
        <v>636</v>
      </c>
      <c r="G3" s="527" t="s">
        <v>568</v>
      </c>
      <c r="H3" s="527" t="s">
        <v>700</v>
      </c>
      <c r="I3" s="527" t="s">
        <v>582</v>
      </c>
      <c r="J3" s="527" t="s">
        <v>648</v>
      </c>
      <c r="K3" s="527" t="s">
        <v>636</v>
      </c>
      <c r="L3" s="527" t="s">
        <v>568</v>
      </c>
    </row>
    <row r="4" spans="1:12" ht="25.5">
      <c r="A4" s="59">
        <v>1</v>
      </c>
      <c r="B4" s="60" t="s">
        <v>638</v>
      </c>
      <c r="C4" s="72">
        <v>0.5</v>
      </c>
      <c r="D4" s="72">
        <v>0.625</v>
      </c>
      <c r="E4" s="73">
        <v>0.83579999999999999</v>
      </c>
      <c r="F4" s="73">
        <v>83.58</v>
      </c>
      <c r="G4" s="74">
        <v>0.85</v>
      </c>
      <c r="H4" s="72">
        <v>0.5</v>
      </c>
      <c r="I4" s="72">
        <v>0.625</v>
      </c>
      <c r="J4" s="73">
        <v>0.71150000000000002</v>
      </c>
      <c r="K4" s="73">
        <v>71.150000000000006</v>
      </c>
      <c r="L4" s="74">
        <v>0.75</v>
      </c>
    </row>
  </sheetData>
  <mergeCells count="5">
    <mergeCell ref="A2:B2"/>
    <mergeCell ref="A1:B1"/>
    <mergeCell ref="C2:E2"/>
    <mergeCell ref="H2:J2"/>
    <mergeCell ref="C1:L1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395E8-AE62-4C46-AC62-814BA9B6AE24}">
  <sheetPr>
    <tabColor theme="9" tint="0.39997558519241921"/>
  </sheetPr>
  <dimension ref="A1:G4"/>
  <sheetViews>
    <sheetView showGridLines="0" workbookViewId="0">
      <selection activeCell="G9" sqref="G9"/>
    </sheetView>
  </sheetViews>
  <sheetFormatPr defaultRowHeight="15"/>
  <cols>
    <col min="2" max="2" width="27.7109375" customWidth="1"/>
    <col min="5" max="5" width="16.140625" customWidth="1"/>
    <col min="6" max="6" width="15" customWidth="1"/>
    <col min="7" max="7" width="14.28515625" customWidth="1"/>
  </cols>
  <sheetData>
    <row r="1" spans="1:7" ht="53.25" customHeight="1">
      <c r="A1" s="188" t="s">
        <v>650</v>
      </c>
      <c r="B1" s="189"/>
      <c r="C1" s="535" t="s">
        <v>632</v>
      </c>
      <c r="D1" s="535"/>
      <c r="E1" s="535"/>
      <c r="F1" s="535"/>
      <c r="G1" s="535"/>
    </row>
    <row r="2" spans="1:7">
      <c r="A2" s="186"/>
      <c r="B2" s="187"/>
      <c r="C2" s="194">
        <v>15</v>
      </c>
      <c r="D2" s="195"/>
      <c r="E2" s="195"/>
      <c r="F2" s="195"/>
      <c r="G2" s="195"/>
    </row>
    <row r="3" spans="1:7" s="231" customFormat="1" ht="47.25">
      <c r="A3" s="531" t="s">
        <v>0</v>
      </c>
      <c r="B3" s="532" t="s">
        <v>227</v>
      </c>
      <c r="C3" s="533" t="s">
        <v>2</v>
      </c>
      <c r="D3" s="533" t="s">
        <v>582</v>
      </c>
      <c r="E3" s="534" t="s">
        <v>648</v>
      </c>
      <c r="F3" s="534" t="s">
        <v>637</v>
      </c>
      <c r="G3" s="534" t="s">
        <v>568</v>
      </c>
    </row>
    <row r="4" spans="1:7" ht="25.5">
      <c r="A4" s="59">
        <v>1</v>
      </c>
      <c r="B4" s="60" t="s">
        <v>638</v>
      </c>
      <c r="C4" s="146">
        <f>D4*0.65</f>
        <v>42.25</v>
      </c>
      <c r="D4" s="61">
        <v>65</v>
      </c>
      <c r="E4" s="62">
        <v>71</v>
      </c>
      <c r="F4" s="63">
        <f>E4/D4</f>
        <v>1.0923076923076922</v>
      </c>
      <c r="G4" s="63">
        <f>IF(F4&gt;1,1,IF(F4&gt;0.7999,100%,IF(F4&gt;=0.7,80%,IF(F4&gt;=0.6,70%,IF(F4&gt;=0.5,60%,0)))))</f>
        <v>1</v>
      </c>
    </row>
  </sheetData>
  <mergeCells count="4">
    <mergeCell ref="A1:B1"/>
    <mergeCell ref="C1:G1"/>
    <mergeCell ref="A2:B2"/>
    <mergeCell ref="C2:G2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9F071-0E15-493A-A14A-6AE82FEC17EA}">
  <sheetPr>
    <tabColor theme="9" tint="0.39997558519241921"/>
  </sheetPr>
  <dimension ref="A1:G4"/>
  <sheetViews>
    <sheetView showGridLines="0" workbookViewId="0">
      <selection activeCell="H16" sqref="H16"/>
    </sheetView>
  </sheetViews>
  <sheetFormatPr defaultRowHeight="15"/>
  <cols>
    <col min="2" max="2" width="18.28515625" customWidth="1"/>
  </cols>
  <sheetData>
    <row r="1" spans="1:7" ht="54" customHeight="1">
      <c r="A1" s="188" t="s">
        <v>650</v>
      </c>
      <c r="B1" s="189"/>
      <c r="C1" s="536" t="s">
        <v>633</v>
      </c>
      <c r="D1" s="535"/>
      <c r="E1" s="535"/>
      <c r="F1" s="535"/>
      <c r="G1" s="535"/>
    </row>
    <row r="2" spans="1:7" ht="54" customHeight="1">
      <c r="A2" s="186"/>
      <c r="B2" s="187"/>
      <c r="C2" s="196">
        <v>30</v>
      </c>
      <c r="D2" s="197"/>
      <c r="E2" s="197"/>
      <c r="F2" s="197"/>
      <c r="G2" s="197"/>
    </row>
    <row r="3" spans="1:7" s="120" customFormat="1" ht="54" customHeight="1">
      <c r="A3" s="525" t="s">
        <v>0</v>
      </c>
      <c r="B3" s="526" t="s">
        <v>227</v>
      </c>
      <c r="C3" s="537" t="s">
        <v>2</v>
      </c>
      <c r="D3" s="537" t="s">
        <v>582</v>
      </c>
      <c r="E3" s="537" t="s">
        <v>649</v>
      </c>
      <c r="F3" s="537" t="s">
        <v>637</v>
      </c>
      <c r="G3" s="537" t="s">
        <v>568</v>
      </c>
    </row>
    <row r="4" spans="1:7" ht="25.5">
      <c r="A4" s="59">
        <v>1</v>
      </c>
      <c r="B4" s="60" t="s">
        <v>638</v>
      </c>
      <c r="C4" s="64">
        <f>D4*0.65</f>
        <v>3071.25</v>
      </c>
      <c r="D4" s="64">
        <v>4725</v>
      </c>
      <c r="E4" s="64">
        <v>6739</v>
      </c>
      <c r="F4" s="65">
        <f>E4/D4</f>
        <v>1.4262433862433863</v>
      </c>
      <c r="G4" s="66">
        <f>IF(F4&gt;1,1*C2,F4*C2)</f>
        <v>30</v>
      </c>
    </row>
  </sheetData>
  <mergeCells count="4">
    <mergeCell ref="A1:B1"/>
    <mergeCell ref="C1:G1"/>
    <mergeCell ref="A2:B2"/>
    <mergeCell ref="C2:G2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D7D66-B265-4116-B068-12E467C88E78}">
  <sheetPr>
    <tabColor theme="9" tint="0.39997558519241921"/>
  </sheetPr>
  <dimension ref="A1:G4"/>
  <sheetViews>
    <sheetView showGridLines="0" workbookViewId="0">
      <selection activeCell="J14" sqref="J14"/>
    </sheetView>
  </sheetViews>
  <sheetFormatPr defaultRowHeight="15"/>
  <cols>
    <col min="2" max="2" width="18.42578125" customWidth="1"/>
    <col min="4" max="4" width="9.28515625" customWidth="1"/>
  </cols>
  <sheetData>
    <row r="1" spans="1:7" ht="63.75" customHeight="1">
      <c r="A1" s="188" t="s">
        <v>650</v>
      </c>
      <c r="B1" s="189"/>
      <c r="C1" s="535" t="s">
        <v>634</v>
      </c>
      <c r="D1" s="535"/>
      <c r="E1" s="535"/>
      <c r="F1" s="535"/>
      <c r="G1" s="535"/>
    </row>
    <row r="2" spans="1:7">
      <c r="A2" s="186"/>
      <c r="B2" s="187"/>
      <c r="C2" s="198">
        <v>15</v>
      </c>
      <c r="D2" s="199"/>
      <c r="E2" s="199"/>
      <c r="F2" s="199"/>
      <c r="G2" s="199"/>
    </row>
    <row r="3" spans="1:7" s="120" customFormat="1" ht="25.5">
      <c r="A3" s="525" t="s">
        <v>0</v>
      </c>
      <c r="B3" s="526" t="s">
        <v>227</v>
      </c>
      <c r="C3" s="538" t="s">
        <v>2</v>
      </c>
      <c r="D3" s="538" t="s">
        <v>582</v>
      </c>
      <c r="E3" s="538" t="s">
        <v>648</v>
      </c>
      <c r="F3" s="538" t="s">
        <v>637</v>
      </c>
      <c r="G3" s="538" t="s">
        <v>568</v>
      </c>
    </row>
    <row r="4" spans="1:7" ht="25.5">
      <c r="A4" s="59">
        <v>1</v>
      </c>
      <c r="B4" s="60" t="s">
        <v>638</v>
      </c>
      <c r="C4" s="67">
        <f>D4*0.65</f>
        <v>11700</v>
      </c>
      <c r="D4" s="67">
        <v>18000</v>
      </c>
      <c r="E4" s="102">
        <v>28170</v>
      </c>
      <c r="F4" s="68">
        <f>E4/D4</f>
        <v>1.5649999999999999</v>
      </c>
      <c r="G4" s="69">
        <f>IF(F4&gt;1,1,IF(F4&gt;0.7999,100%,IF(F4&gt;=0.7,80%,IF(F4&gt;=0.6,70%,IF(F4&gt;=0.5,60%,0)))))</f>
        <v>1</v>
      </c>
    </row>
  </sheetData>
  <mergeCells count="4">
    <mergeCell ref="C1:G1"/>
    <mergeCell ref="A2:B2"/>
    <mergeCell ref="C2:G2"/>
    <mergeCell ref="A1:B1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2EED4-AC89-48BA-8432-32967E64A7B8}">
  <sheetPr>
    <tabColor theme="7" tint="0.39997558519241921"/>
  </sheetPr>
  <dimension ref="A1:AI4"/>
  <sheetViews>
    <sheetView showGridLines="0" zoomScaleNormal="100" workbookViewId="0">
      <selection activeCell="U22" sqref="U22"/>
    </sheetView>
  </sheetViews>
  <sheetFormatPr defaultRowHeight="15"/>
  <cols>
    <col min="2" max="2" width="16.42578125" customWidth="1"/>
    <col min="6" max="6" width="11.5703125" customWidth="1"/>
    <col min="27" max="27" width="11.7109375" customWidth="1"/>
  </cols>
  <sheetData>
    <row r="1" spans="1:35" s="231" customFormat="1" ht="89.25" customHeight="1">
      <c r="A1" s="539" t="s">
        <v>650</v>
      </c>
      <c r="B1" s="540"/>
      <c r="C1" s="544" t="s">
        <v>631</v>
      </c>
      <c r="D1" s="545"/>
      <c r="E1" s="545"/>
      <c r="F1" s="545"/>
      <c r="G1" s="545"/>
      <c r="H1" s="545"/>
      <c r="I1" s="544" t="s">
        <v>631</v>
      </c>
      <c r="J1" s="545"/>
      <c r="K1" s="545"/>
      <c r="L1" s="545"/>
      <c r="M1" s="545"/>
      <c r="N1" s="545"/>
      <c r="O1" s="546" t="s">
        <v>632</v>
      </c>
      <c r="P1" s="546"/>
      <c r="Q1" s="546"/>
      <c r="R1" s="546"/>
      <c r="S1" s="546"/>
      <c r="T1" s="546"/>
      <c r="U1" s="547" t="s">
        <v>633</v>
      </c>
      <c r="V1" s="546"/>
      <c r="W1" s="546"/>
      <c r="X1" s="546"/>
      <c r="Y1" s="546"/>
      <c r="Z1" s="548"/>
      <c r="AA1" s="546" t="s">
        <v>634</v>
      </c>
      <c r="AB1" s="546"/>
      <c r="AC1" s="546"/>
      <c r="AD1" s="546"/>
      <c r="AE1" s="546"/>
      <c r="AF1" s="546"/>
      <c r="AG1" s="541" t="s">
        <v>630</v>
      </c>
      <c r="AH1" s="542"/>
      <c r="AI1" s="543"/>
    </row>
    <row r="2" spans="1:35" ht="27.6" customHeight="1">
      <c r="A2" s="200"/>
      <c r="B2" s="187"/>
      <c r="C2" s="214" t="s">
        <v>713</v>
      </c>
      <c r="D2" s="215"/>
      <c r="E2" s="216"/>
      <c r="F2" s="214">
        <v>20</v>
      </c>
      <c r="G2" s="215"/>
      <c r="H2" s="217"/>
      <c r="I2" s="212" t="s">
        <v>709</v>
      </c>
      <c r="J2" s="213"/>
      <c r="K2" s="213"/>
      <c r="L2" s="83">
        <v>20</v>
      </c>
      <c r="M2" s="84"/>
      <c r="N2" s="85"/>
      <c r="O2" s="201">
        <v>15</v>
      </c>
      <c r="P2" s="202"/>
      <c r="Q2" s="202"/>
      <c r="R2" s="202"/>
      <c r="S2" s="202"/>
      <c r="T2" s="203"/>
      <c r="U2" s="204">
        <v>30</v>
      </c>
      <c r="V2" s="205"/>
      <c r="W2" s="205"/>
      <c r="X2" s="205"/>
      <c r="Y2" s="205"/>
      <c r="Z2" s="206"/>
      <c r="AA2" s="207">
        <v>15</v>
      </c>
      <c r="AB2" s="208"/>
      <c r="AC2" s="208"/>
      <c r="AD2" s="208"/>
      <c r="AE2" s="208"/>
      <c r="AF2" s="208"/>
      <c r="AG2" s="209" t="s">
        <v>635</v>
      </c>
      <c r="AH2" s="210"/>
      <c r="AI2" s="211"/>
    </row>
    <row r="3" spans="1:35" s="120" customFormat="1" ht="38.25">
      <c r="A3" s="549" t="s">
        <v>0</v>
      </c>
      <c r="B3" s="526" t="s">
        <v>227</v>
      </c>
      <c r="C3" s="157" t="s">
        <v>700</v>
      </c>
      <c r="D3" s="157" t="s">
        <v>712</v>
      </c>
      <c r="E3" s="157" t="s">
        <v>648</v>
      </c>
      <c r="F3" s="157" t="s">
        <v>636</v>
      </c>
      <c r="G3" s="157" t="s">
        <v>568</v>
      </c>
      <c r="H3" s="157" t="s">
        <v>610</v>
      </c>
      <c r="I3" s="550" t="s">
        <v>700</v>
      </c>
      <c r="J3" s="550" t="s">
        <v>712</v>
      </c>
      <c r="K3" s="550" t="s">
        <v>648</v>
      </c>
      <c r="L3" s="550" t="s">
        <v>636</v>
      </c>
      <c r="M3" s="550" t="s">
        <v>568</v>
      </c>
      <c r="N3" s="550" t="s">
        <v>610</v>
      </c>
      <c r="O3" s="551" t="s">
        <v>2</v>
      </c>
      <c r="P3" s="551" t="s">
        <v>582</v>
      </c>
      <c r="Q3" s="551" t="s">
        <v>648</v>
      </c>
      <c r="R3" s="551" t="s">
        <v>637</v>
      </c>
      <c r="S3" s="551" t="s">
        <v>568</v>
      </c>
      <c r="T3" s="551" t="s">
        <v>610</v>
      </c>
      <c r="U3" s="552" t="s">
        <v>2</v>
      </c>
      <c r="V3" s="552" t="s">
        <v>582</v>
      </c>
      <c r="W3" s="552" t="s">
        <v>648</v>
      </c>
      <c r="X3" s="552" t="s">
        <v>637</v>
      </c>
      <c r="Y3" s="552" t="s">
        <v>568</v>
      </c>
      <c r="Z3" s="552" t="s">
        <v>610</v>
      </c>
      <c r="AA3" s="553" t="s">
        <v>2</v>
      </c>
      <c r="AB3" s="553" t="s">
        <v>582</v>
      </c>
      <c r="AC3" s="553" t="s">
        <v>648</v>
      </c>
      <c r="AD3" s="553" t="s">
        <v>637</v>
      </c>
      <c r="AE3" s="553" t="s">
        <v>568</v>
      </c>
      <c r="AF3" s="553" t="s">
        <v>610</v>
      </c>
      <c r="AG3" s="87" t="s">
        <v>591</v>
      </c>
      <c r="AH3" s="87" t="s">
        <v>545</v>
      </c>
      <c r="AI3" s="88" t="s">
        <v>592</v>
      </c>
    </row>
    <row r="4" spans="1:35" ht="25.5">
      <c r="A4" s="89">
        <v>1</v>
      </c>
      <c r="B4" s="90" t="s">
        <v>638</v>
      </c>
      <c r="C4" s="72">
        <v>0.5</v>
      </c>
      <c r="D4" s="72">
        <v>0.625</v>
      </c>
      <c r="E4" s="72">
        <v>0.83579999999999999</v>
      </c>
      <c r="F4" s="72">
        <v>83.58</v>
      </c>
      <c r="G4" s="143">
        <v>0.85</v>
      </c>
      <c r="H4" s="145">
        <f>G4*F2</f>
        <v>17</v>
      </c>
      <c r="I4" s="86">
        <v>0.5</v>
      </c>
      <c r="J4" s="86">
        <v>0.625</v>
      </c>
      <c r="K4" s="142">
        <v>0.71150000000000002</v>
      </c>
      <c r="L4" s="142">
        <v>71.150000000000006</v>
      </c>
      <c r="M4" s="142">
        <v>0.75</v>
      </c>
      <c r="N4" s="144">
        <f>M4*L2</f>
        <v>15</v>
      </c>
      <c r="O4" s="91">
        <v>52</v>
      </c>
      <c r="P4" s="91">
        <v>65</v>
      </c>
      <c r="Q4" s="91">
        <v>71</v>
      </c>
      <c r="R4" s="92">
        <f>Q4/P4</f>
        <v>1.0923076923076922</v>
      </c>
      <c r="S4" s="92">
        <v>1</v>
      </c>
      <c r="T4" s="93">
        <f>S4*$O$2</f>
        <v>15</v>
      </c>
      <c r="U4" s="64">
        <f>V4*0.8</f>
        <v>3016</v>
      </c>
      <c r="V4" s="64">
        <v>3770</v>
      </c>
      <c r="W4" s="64">
        <v>6739</v>
      </c>
      <c r="X4" s="65">
        <f>W4/V4</f>
        <v>1.7875331564986738</v>
      </c>
      <c r="Y4" s="66">
        <f>IF(X4&gt;1,1,X4)</f>
        <v>1</v>
      </c>
      <c r="Z4" s="94">
        <f>U2*Y4</f>
        <v>30</v>
      </c>
      <c r="AA4" s="95">
        <f>AB4*0.65</f>
        <v>11700</v>
      </c>
      <c r="AB4" s="95">
        <v>18000</v>
      </c>
      <c r="AC4" s="95">
        <v>28170</v>
      </c>
      <c r="AD4" s="96">
        <v>1.5649999999999999</v>
      </c>
      <c r="AE4" s="97">
        <v>1</v>
      </c>
      <c r="AF4" s="98">
        <f>AA2*AE4</f>
        <v>15</v>
      </c>
      <c r="AG4" s="99">
        <f>SUM(F2,L2,O2,U2,AA2)</f>
        <v>100</v>
      </c>
      <c r="AH4" s="100">
        <f>SUM(H4,N4,T4,Z4,AF4)</f>
        <v>92</v>
      </c>
      <c r="AI4" s="101">
        <f>AH4/100</f>
        <v>0.92</v>
      </c>
    </row>
  </sheetData>
  <mergeCells count="15">
    <mergeCell ref="AG1:AI1"/>
    <mergeCell ref="A1:B1"/>
    <mergeCell ref="I1:N1"/>
    <mergeCell ref="O1:T1"/>
    <mergeCell ref="U1:Z1"/>
    <mergeCell ref="AA1:AF1"/>
    <mergeCell ref="C1:H1"/>
    <mergeCell ref="A2:B2"/>
    <mergeCell ref="O2:T2"/>
    <mergeCell ref="U2:Z2"/>
    <mergeCell ref="AA2:AF2"/>
    <mergeCell ref="AG2:AI2"/>
    <mergeCell ref="I2:K2"/>
    <mergeCell ref="C2:E2"/>
    <mergeCell ref="F2:H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DAB7F-DF22-4A7F-8517-4D044413B99F}">
  <sheetPr>
    <tabColor rgb="FF0070C0"/>
  </sheetPr>
  <dimension ref="A1:O86"/>
  <sheetViews>
    <sheetView showGridLines="0" topLeftCell="A10" workbookViewId="0">
      <selection activeCell="H3" sqref="H3"/>
    </sheetView>
  </sheetViews>
  <sheetFormatPr defaultRowHeight="15.75"/>
  <cols>
    <col min="1" max="1" width="9.140625" style="234"/>
    <col min="2" max="2" width="27.85546875" style="234" customWidth="1"/>
    <col min="3" max="3" width="20.140625" style="234" customWidth="1"/>
    <col min="4" max="4" width="21.5703125" style="234" customWidth="1"/>
    <col min="5" max="5" width="13" style="234" bestFit="1" customWidth="1"/>
    <col min="6" max="6" width="15" style="234" bestFit="1" customWidth="1"/>
    <col min="7" max="7" width="16.140625" style="234" customWidth="1"/>
    <col min="8" max="8" width="15.28515625" style="234" customWidth="1"/>
    <col min="9" max="9" width="16.42578125" style="234" customWidth="1"/>
    <col min="10" max="10" width="16.140625" style="234" customWidth="1"/>
    <col min="11" max="11" width="16.5703125" style="234" customWidth="1"/>
    <col min="12" max="12" width="16.42578125" style="234" customWidth="1"/>
    <col min="13" max="13" width="23" style="234" customWidth="1"/>
    <col min="14" max="14" width="19.28515625" style="234" customWidth="1"/>
    <col min="15" max="15" width="13.7109375" style="234" customWidth="1"/>
    <col min="16" max="16384" width="9.140625" style="234"/>
  </cols>
  <sheetData>
    <row r="1" spans="1:15">
      <c r="A1" s="224"/>
      <c r="B1" s="225" t="s">
        <v>463</v>
      </c>
      <c r="C1" s="226">
        <v>50</v>
      </c>
      <c r="D1" s="227"/>
      <c r="E1" s="228"/>
      <c r="F1" s="229"/>
      <c r="G1" s="230"/>
      <c r="H1" s="231"/>
      <c r="I1" s="231"/>
      <c r="J1" s="232"/>
      <c r="K1" s="233"/>
      <c r="L1" s="233"/>
    </row>
    <row r="2" spans="1:15">
      <c r="A2" s="224"/>
      <c r="B2" s="225" t="s">
        <v>683</v>
      </c>
      <c r="C2" s="226">
        <f>AVERAGE(C10:C86)*100</f>
        <v>38.703772662025962</v>
      </c>
      <c r="D2" s="235"/>
      <c r="E2" s="228"/>
      <c r="F2" s="236"/>
      <c r="G2" s="237"/>
      <c r="H2" s="231"/>
      <c r="I2" s="231"/>
      <c r="J2" s="232"/>
      <c r="K2" s="233"/>
      <c r="L2" s="238"/>
    </row>
    <row r="3" spans="1:15">
      <c r="A3" s="224"/>
      <c r="B3" s="225" t="s">
        <v>684</v>
      </c>
      <c r="C3" s="226">
        <f>MAX(D10:D84)</f>
        <v>61.250000000000007</v>
      </c>
      <c r="D3" s="239"/>
      <c r="E3" s="240"/>
      <c r="F3" s="236"/>
      <c r="G3" s="237"/>
      <c r="H3" s="231"/>
      <c r="I3" s="231"/>
      <c r="J3" s="232"/>
      <c r="K3" s="241"/>
      <c r="L3" s="233"/>
      <c r="O3" s="231"/>
    </row>
    <row r="4" spans="1:15">
      <c r="A4" s="224"/>
      <c r="B4" s="225" t="s">
        <v>685</v>
      </c>
      <c r="C4" s="226">
        <f>AVERAGEIF(D10:D84, "&gt;=54,2857")</f>
        <v>58.500922677110324</v>
      </c>
      <c r="D4" s="239"/>
      <c r="E4" s="240"/>
      <c r="F4" s="242"/>
      <c r="G4" s="231"/>
      <c r="H4" s="231"/>
      <c r="I4" s="231"/>
      <c r="J4" s="232"/>
      <c r="K4" s="233"/>
      <c r="L4" s="238"/>
      <c r="M4" s="231"/>
      <c r="N4" s="243"/>
      <c r="O4" s="231"/>
    </row>
    <row r="5" spans="1:15">
      <c r="A5" s="224"/>
      <c r="B5" s="225" t="s">
        <v>686</v>
      </c>
      <c r="C5" s="226">
        <f>AVERAGEIF(D10:D84, "&gt;=50")</f>
        <v>54.285702282181433</v>
      </c>
    </row>
    <row r="6" spans="1:15">
      <c r="A6" s="224"/>
      <c r="B6" s="225" t="s">
        <v>687</v>
      </c>
      <c r="C6" s="226">
        <f>(C4+C1)/2</f>
        <v>54.250461338555162</v>
      </c>
      <c r="D6" s="244"/>
      <c r="E6" s="244"/>
    </row>
    <row r="7" spans="1:15">
      <c r="A7" s="245"/>
      <c r="B7" s="245"/>
      <c r="C7" s="245"/>
      <c r="D7" s="246"/>
      <c r="E7" s="246"/>
      <c r="F7" s="245"/>
      <c r="G7" s="245"/>
      <c r="H7" s="245"/>
      <c r="I7" s="245"/>
      <c r="J7" s="245"/>
      <c r="K7" s="245"/>
      <c r="L7" s="245"/>
      <c r="M7" s="245"/>
      <c r="N7" s="245"/>
      <c r="O7" s="245"/>
    </row>
    <row r="8" spans="1:15">
      <c r="A8" s="245"/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</row>
    <row r="9" spans="1:15" s="231" customFormat="1" ht="78.75">
      <c r="A9" s="247" t="s">
        <v>0</v>
      </c>
      <c r="B9" s="248" t="s">
        <v>1</v>
      </c>
      <c r="C9" s="248" t="s">
        <v>691</v>
      </c>
      <c r="D9" s="248" t="s">
        <v>692</v>
      </c>
      <c r="E9" s="248" t="s">
        <v>464</v>
      </c>
      <c r="F9" s="248" t="s">
        <v>693</v>
      </c>
      <c r="G9" s="249" t="s">
        <v>694</v>
      </c>
      <c r="H9" s="249" t="s">
        <v>695</v>
      </c>
      <c r="I9" s="250" t="s">
        <v>465</v>
      </c>
      <c r="J9" s="250" t="s">
        <v>466</v>
      </c>
      <c r="K9" s="250" t="s">
        <v>467</v>
      </c>
      <c r="L9" s="250" t="s">
        <v>696</v>
      </c>
      <c r="M9" s="251" t="s">
        <v>697</v>
      </c>
      <c r="N9" s="251" t="s">
        <v>698</v>
      </c>
      <c r="O9" s="248" t="s">
        <v>699</v>
      </c>
    </row>
    <row r="10" spans="1:15">
      <c r="A10" s="252">
        <v>2</v>
      </c>
      <c r="B10" s="253" t="s">
        <v>469</v>
      </c>
      <c r="C10" s="254">
        <v>0.21887713588283156</v>
      </c>
      <c r="D10" s="255">
        <f t="shared" ref="D10:D41" si="0">C10*100</f>
        <v>21.887713588283155</v>
      </c>
      <c r="E10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10" s="257">
        <v>28.454545454545499</v>
      </c>
      <c r="G10" s="255">
        <f>Tabela74[[#This Row],[Meta 2024 (N)]]*0.65</f>
        <v>19.336070000000003</v>
      </c>
      <c r="H10" s="255">
        <v>29.747800000000002</v>
      </c>
      <c r="I10" s="258" t="b">
        <f>IF(E10="Referência",
   IF(Tabela74[[#This Row],[TCC 2024 (N)]]&gt;=Tabela74[[#This Row],[TCC 2023(n)]],1,
      IF(Tabela74[[#This Row],[TCC 2024 (N)]]&gt;=C4,0.95,
         IF(AND(Tabela74[[#This Row],[TCC 2024 (N)]]&lt;Tabela74[[#This Row],[TCC 2024]], Tabela74[[#This Row],[TCC 2024 (N)]]&gt;E3),0.85,
            IF(AND(Tabela74[[#This Row],[TCC 2024 (N)]]&lt;E3, Tabela74[[#This Row],[TCC 2024 (N)]]&gt;=C3),0.8, FALSE)
         )
      )
   )
)</f>
        <v>0</v>
      </c>
      <c r="J10" s="258" t="b">
        <f>IF(E10="Excelência",
   IF(Tabela74[[#This Row],[TCC 2024 (N)]]&gt;=Tabela74[[#This Row],[TCC 2023(n)]],1,
      IF(Tabela74[[#This Row],[TCC 2024 (N)]]&gt;=C4,0.95,
         IF(AND(Tabela74[[#This Row],[TCC 2024 (N)]]&lt;Tabela74[[#This Row],[TCC 2024]], Tabela74[[#This Row],[TCC 2024 (N)]]&gt;E3),0.85,
            IF(AND(Tabela74[[#This Row],[TCC 2024 (N)]]&lt;E3, Tabela74[[#This Row],[TCC 2024 (N)]]&gt;=C3),0.8, FALSE)
         )
      )
   )
)</f>
        <v>0</v>
      </c>
      <c r="K10" s="258" t="str">
        <f>IF(E10="Intermediário", MAX(0, MIN(1, (Tabela74[[#This Row],[TCC 2024 (N)]]-Tabela74[[#This Row],[Linha de Base 2024 (N) ]])/(Tabela74[[#This Row],[Meta 2024 (N)]]-Tabela74[[#This Row],[Linha de Base 2024 (N) ]]))), "FALSO")</f>
        <v>FALSO</v>
      </c>
      <c r="L10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0.24507392991204657</v>
      </c>
      <c r="M10" s="259">
        <f>SUM(Tabela74[[#This Row],[ICM Atribuído - Grupo 1]:[ICM Atribuído - Grupo 4]])</f>
        <v>0.24507392991204657</v>
      </c>
      <c r="N10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0.24507392991204657</v>
      </c>
      <c r="O10" s="258">
        <f>IF(Tabela74[[#This Row],[APLICANDO FORMULA GRUPO 3 - ENQUADRAMENTO]]&lt;0,0,Tabela74[[#This Row],[APLICANDO FORMULA GRUPO 3 - ENQUADRAMENTO]])</f>
        <v>0.24507392991204657</v>
      </c>
    </row>
    <row r="11" spans="1:15">
      <c r="A11" s="260">
        <v>3</v>
      </c>
      <c r="B11" s="261" t="s">
        <v>470</v>
      </c>
      <c r="C11" s="262">
        <v>0.33880229696472519</v>
      </c>
      <c r="D11" s="255">
        <f t="shared" si="0"/>
        <v>33.880229696472519</v>
      </c>
      <c r="E11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11" s="263">
        <v>33.888888888888893</v>
      </c>
      <c r="G11" s="255">
        <f>Tabela74[[#This Row],[Meta 2024 (N)]]*0.65</f>
        <v>22.547264999999999</v>
      </c>
      <c r="H11" s="264">
        <v>34.688099999999999</v>
      </c>
      <c r="I11" s="258" t="b">
        <f>IF(E11="Referência",
   IF(Tabela74[[#This Row],[TCC 2024 (N)]]&gt;=Tabela74[[#This Row],[TCC 2023(n)]],1,
      IF(Tabela74[[#This Row],[TCC 2024 (N)]]&gt;=C5,0.95,
         IF(AND(Tabela74[[#This Row],[TCC 2024 (N)]]&lt;Tabela74[[#This Row],[TCC 2024]], Tabela74[[#This Row],[TCC 2024 (N)]]&gt;E4),0.85,
            IF(AND(Tabela74[[#This Row],[TCC 2024 (N)]]&lt;E4, Tabela74[[#This Row],[TCC 2024 (N)]]&gt;=C4),0.8, FALSE)
         )
      )
   )
)</f>
        <v>0</v>
      </c>
      <c r="J11" s="258" t="b">
        <f>IF(E11="Excelência",
   IF(Tabela74[[#This Row],[TCC 2024 (N)]]&gt;=Tabela74[[#This Row],[TCC 2023(n)]],1,
      IF(Tabela74[[#This Row],[TCC 2024 (N)]]&gt;=C5,0.95,
         IF(AND(Tabela74[[#This Row],[TCC 2024 (N)]]&lt;Tabela74[[#This Row],[TCC 2024]], Tabela74[[#This Row],[TCC 2024 (N)]]&gt;E4),0.85,
            IF(AND(Tabela74[[#This Row],[TCC 2024 (N)]]&lt;E4, Tabela74[[#This Row],[TCC 2024 (N)]]&gt;=C4),0.8, FALSE)
         )
      )
   )
)</f>
        <v>0</v>
      </c>
      <c r="K11" s="258" t="str">
        <f>IF(E11="Intermediário", MAX(0, MIN(1, (Tabela74[[#This Row],[TCC 2024 (N)]]-Tabela74[[#This Row],[Linha de Base 2024 (N) ]])/(Tabela74[[#This Row],[Meta 2024 (N)]]-Tabela74[[#This Row],[Linha de Base 2024 (N) ]]))), "FALSO")</f>
        <v>FALSO</v>
      </c>
      <c r="L11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0.9334584232857559</v>
      </c>
      <c r="M11" s="259">
        <f>SUM(Tabela74[[#This Row],[ICM Atribuído - Grupo 1]:[ICM Atribuído - Grupo 4]])</f>
        <v>0.9334584232857559</v>
      </c>
      <c r="N11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0.9334584232857559</v>
      </c>
      <c r="O11" s="258">
        <f>IF(Tabela74[[#This Row],[APLICANDO FORMULA GRUPO 3 - ENQUADRAMENTO]]&lt;0,0,Tabela74[[#This Row],[APLICANDO FORMULA GRUPO 3 - ENQUADRAMENTO]])</f>
        <v>0.9334584232857559</v>
      </c>
    </row>
    <row r="12" spans="1:15">
      <c r="A12" s="252">
        <v>4</v>
      </c>
      <c r="B12" s="253" t="s">
        <v>471</v>
      </c>
      <c r="C12" s="254">
        <v>0.42073778664007977</v>
      </c>
      <c r="D12" s="255">
        <f t="shared" si="0"/>
        <v>42.073778664007975</v>
      </c>
      <c r="E12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Intermediário</v>
      </c>
      <c r="F12" s="257">
        <v>44.956140350877192</v>
      </c>
      <c r="G12" s="255">
        <f>Tabela74[[#This Row],[Meta 2024 (N)]]*0.65</f>
        <v>30.110469999999999</v>
      </c>
      <c r="H12" s="255">
        <v>46.323799999999999</v>
      </c>
      <c r="I12" s="258" t="b">
        <f>IF(E12="Referência",
   IF(Tabela74[[#This Row],[TCC 2024 (N)]]&gt;=Tabela74[[#This Row],[TCC 2023(n)]],1,
      IF(Tabela74[[#This Row],[TCC 2024 (N)]]&gt;=C6,0.95,
         IF(AND(Tabela74[[#This Row],[TCC 2024 (N)]]&lt;Tabela74[[#This Row],[TCC 2024]], Tabela74[[#This Row],[TCC 2024 (N)]]&gt;E5),0.85,
            IF(AND(Tabela74[[#This Row],[TCC 2024 (N)]]&lt;E5, Tabela74[[#This Row],[TCC 2024 (N)]]&gt;=C5),0.8, FALSE)
         )
      )
   )
)</f>
        <v>0</v>
      </c>
      <c r="J12" s="258" t="b">
        <f>IF(E12="Excelência",
   IF(Tabela74[[#This Row],[TCC 2024 (N)]]&gt;=Tabela74[[#This Row],[TCC 2023(n)]],1,
      IF(Tabela74[[#This Row],[TCC 2024 (N)]]&gt;=C6,0.95,
         IF(AND(Tabela74[[#This Row],[TCC 2024 (N)]]&lt;Tabela74[[#This Row],[TCC 2024]], Tabela74[[#This Row],[TCC 2024 (N)]]&gt;E5),0.85,
            IF(AND(Tabela74[[#This Row],[TCC 2024 (N)]]&lt;E5, Tabela74[[#This Row],[TCC 2024 (N)]]&gt;=C5),0.8, FALSE)
         )
      )
   )
)</f>
        <v>0</v>
      </c>
      <c r="K12" s="258">
        <f>IF(E12="Intermediário", MAX(0, MIN(1, (Tabela74[[#This Row],[TCC 2024 (N)]]-Tabela74[[#This Row],[Linha de Base 2024 (N) ]])/(Tabela74[[#This Row],[Meta 2024 (N)]]-Tabela74[[#This Row],[Linha de Base 2024 (N) ]]))), "FALSO")</f>
        <v>0.73786869594389159</v>
      </c>
      <c r="L12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12" s="259">
        <f>SUM(Tabela74[[#This Row],[ICM Atribuído - Grupo 1]:[ICM Atribuído - Grupo 4]])</f>
        <v>0.73786869594389159</v>
      </c>
      <c r="N12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0.75</v>
      </c>
      <c r="O12" s="258">
        <f>IF(Tabela74[[#This Row],[APLICANDO FORMULA GRUPO 3 - ENQUADRAMENTO]]&lt;0,0,Tabela74[[#This Row],[APLICANDO FORMULA GRUPO 3 - ENQUADRAMENTO]])</f>
        <v>0.75</v>
      </c>
    </row>
    <row r="13" spans="1:15">
      <c r="A13" s="260">
        <v>5</v>
      </c>
      <c r="B13" s="261" t="s">
        <v>472</v>
      </c>
      <c r="C13" s="262">
        <v>0.5</v>
      </c>
      <c r="D13" s="255">
        <f t="shared" si="0"/>
        <v>50</v>
      </c>
      <c r="E13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Excelência</v>
      </c>
      <c r="F13" s="263">
        <v>50</v>
      </c>
      <c r="G13" s="255">
        <f>Tabela74[[#This Row],[Meta 2024 (N)]]*0.65</f>
        <v>33.090915000000003</v>
      </c>
      <c r="H13" s="264">
        <v>50.909100000000002</v>
      </c>
      <c r="I13" s="258" t="b">
        <f>IF(E13="Referência",
   IF(Tabela74[[#This Row],[TCC 2024 (N)]]&gt;=Tabela74[[#This Row],[TCC 2023(n)]],1,
      IF(Tabela74[[#This Row],[TCC 2024 (N)]]&gt;=C7,0.95,
         IF(AND(Tabela74[[#This Row],[TCC 2024 (N)]]&lt;Tabela74[[#This Row],[TCC 2024]], Tabela74[[#This Row],[TCC 2024 (N)]]&gt;E6),0.85,
            IF(AND(Tabela74[[#This Row],[TCC 2024 (N)]]&lt;E6, Tabela74[[#This Row],[TCC 2024 (N)]]&gt;=C6),0.8, FALSE)
         )
      )
   )
)</f>
        <v>0</v>
      </c>
      <c r="J13" s="258">
        <f>IF(E13="Excelência",
   IF(Tabela74[[#This Row],[TCC 2024 (N)]]&gt;=Tabela74[[#This Row],[TCC 2023(n)]],1,
      IF(Tabela74[[#This Row],[TCC 2024 (N)]]&gt;=C7,0.95,
         IF(AND(Tabela74[[#This Row],[TCC 2024 (N)]]&lt;Tabela74[[#This Row],[TCC 2024]], Tabela74[[#This Row],[TCC 2024 (N)]]&gt;E6),0.85,
            IF(AND(Tabela74[[#This Row],[TCC 2024 (N)]]&lt;E6, Tabela74[[#This Row],[TCC 2024 (N)]]&gt;=C6),0.8, FALSE)
         )
      )
   )
)</f>
        <v>1</v>
      </c>
      <c r="K13" s="258" t="str">
        <f>IF(E13="Intermediário", MAX(0, MIN(1, (Tabela74[[#This Row],[TCC 2024 (N)]]-Tabela74[[#This Row],[Linha de Base 2024 (N) ]])/(Tabela74[[#This Row],[Meta 2024 (N)]]-Tabela74[[#This Row],[Linha de Base 2024 (N) ]]))), "FALSO")</f>
        <v>FALSO</v>
      </c>
      <c r="L13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13" s="259">
        <f>SUM(Tabela74[[#This Row],[ICM Atribuído - Grupo 1]:[ICM Atribuído - Grupo 4]])</f>
        <v>1</v>
      </c>
      <c r="N13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1</v>
      </c>
      <c r="O13" s="258">
        <f>IF(Tabela74[[#This Row],[APLICANDO FORMULA GRUPO 3 - ENQUADRAMENTO]]&lt;0,0,Tabela74[[#This Row],[APLICANDO FORMULA GRUPO 3 - ENQUADRAMENTO]])</f>
        <v>1</v>
      </c>
    </row>
    <row r="14" spans="1:15">
      <c r="A14" s="252">
        <v>20</v>
      </c>
      <c r="B14" s="253" t="s">
        <v>473</v>
      </c>
      <c r="C14" s="254">
        <v>0.32463295269168024</v>
      </c>
      <c r="D14" s="255">
        <f t="shared" si="0"/>
        <v>32.463295269168022</v>
      </c>
      <c r="E14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14" s="257">
        <v>38.214285714285708</v>
      </c>
      <c r="G14" s="255">
        <f>Tabela74[[#This Row],[Meta 2024 (N)]]*0.65</f>
        <v>25.103194999999999</v>
      </c>
      <c r="H14" s="255">
        <v>38.6203</v>
      </c>
      <c r="I14" s="258" t="b">
        <f>IF(E14="Referência",
   IF(Tabela74[[#This Row],[TCC 2024 (N)]]&gt;=Tabela74[[#This Row],[TCC 2023(n)]],1,
      IF(Tabela74[[#This Row],[TCC 2024 (N)]]&gt;=C8,0.95,
         IF(AND(Tabela74[[#This Row],[TCC 2024 (N)]]&lt;Tabela74[[#This Row],[TCC 2024]], Tabela74[[#This Row],[TCC 2024 (N)]]&gt;E7),0.85,
            IF(AND(Tabela74[[#This Row],[TCC 2024 (N)]]&lt;E7, Tabela74[[#This Row],[TCC 2024 (N)]]&gt;=C7),0.8, FALSE)
         )
      )
   )
)</f>
        <v>0</v>
      </c>
      <c r="J14" s="258" t="b">
        <f>IF(E14="Excelência",
   IF(Tabela74[[#This Row],[TCC 2024 (N)]]&gt;=Tabela74[[#This Row],[TCC 2023(n)]],1,
      IF(Tabela74[[#This Row],[TCC 2024 (N)]]&gt;=C8,0.95,
         IF(AND(Tabela74[[#This Row],[TCC 2024 (N)]]&lt;Tabela74[[#This Row],[TCC 2024]], Tabela74[[#This Row],[TCC 2024 (N)]]&gt;E7),0.85,
            IF(AND(Tabela74[[#This Row],[TCC 2024 (N)]]&lt;E7, Tabela74[[#This Row],[TCC 2024 (N)]]&gt;=C7),0.8, FALSE)
         )
      )
   )
)</f>
        <v>0</v>
      </c>
      <c r="K14" s="258" t="str">
        <f>IF(E14="Intermediário", MAX(0, MIN(1, (Tabela74[[#This Row],[TCC 2024 (N)]]-Tabela74[[#This Row],[Linha de Base 2024 (N) ]])/(Tabela74[[#This Row],[Meta 2024 (N)]]-Tabela74[[#This Row],[Linha de Base 2024 (N) ]]))), "FALSO")</f>
        <v>FALSO</v>
      </c>
      <c r="L14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0.54450270743387885</v>
      </c>
      <c r="M14" s="259">
        <f>SUM(Tabela74[[#This Row],[ICM Atribuído - Grupo 1]:[ICM Atribuído - Grupo 4]])</f>
        <v>0.54450270743387885</v>
      </c>
      <c r="N14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0.54450270743387885</v>
      </c>
      <c r="O14" s="258">
        <f>IF(Tabela74[[#This Row],[APLICANDO FORMULA GRUPO 3 - ENQUADRAMENTO]]&lt;0,0,Tabela74[[#This Row],[APLICANDO FORMULA GRUPO 3 - ENQUADRAMENTO]])</f>
        <v>0.54450270743387885</v>
      </c>
    </row>
    <row r="15" spans="1:15">
      <c r="A15" s="260">
        <v>21</v>
      </c>
      <c r="B15" s="261" t="s">
        <v>474</v>
      </c>
      <c r="C15" s="262">
        <v>0.33133433283358321</v>
      </c>
      <c r="D15" s="255">
        <f t="shared" si="0"/>
        <v>33.133433283358322</v>
      </c>
      <c r="E15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15" s="263">
        <v>35.967741935483872</v>
      </c>
      <c r="G15" s="255">
        <f>Tabela74[[#This Row],[Meta 2024 (N)]]*0.65</f>
        <v>23.775700000000004</v>
      </c>
      <c r="H15" s="264">
        <v>36.578000000000003</v>
      </c>
      <c r="I15" s="258" t="b">
        <f>IF(E15="Referência",
   IF(Tabela74[[#This Row],[TCC 2024 (N)]]&gt;=Tabela74[[#This Row],[TCC 2023(n)]],1,
      IF(Tabela74[[#This Row],[TCC 2024 (N)]]&gt;=C9,0.95,
         IF(AND(Tabela74[[#This Row],[TCC 2024 (N)]]&lt;Tabela74[[#This Row],[TCC 2024]], Tabela74[[#This Row],[TCC 2024 (N)]]&gt;E8),0.85,
            IF(AND(Tabela74[[#This Row],[TCC 2024 (N)]]&lt;E8, Tabela74[[#This Row],[TCC 2024 (N)]]&gt;=C8),0.8, FALSE)
         )
      )
   )
)</f>
        <v>0</v>
      </c>
      <c r="J15" s="258" t="b">
        <f>IF(E15="Excelência",
   IF(Tabela74[[#This Row],[TCC 2024 (N)]]&gt;=Tabela74[[#This Row],[TCC 2023(n)]],1,
      IF(Tabela74[[#This Row],[TCC 2024 (N)]]&gt;=C9,0.95,
         IF(AND(Tabela74[[#This Row],[TCC 2024 (N)]]&lt;Tabela74[[#This Row],[TCC 2024]], Tabela74[[#This Row],[TCC 2024 (N)]]&gt;E8),0.85,
            IF(AND(Tabela74[[#This Row],[TCC 2024 (N)]]&lt;E8, Tabela74[[#This Row],[TCC 2024 (N)]]&gt;=C8),0.8, FALSE)
         )
      )
   )
)</f>
        <v>0</v>
      </c>
      <c r="K15" s="258" t="str">
        <f>IF(E15="Intermediário", MAX(0, MIN(1, (Tabela74[[#This Row],[TCC 2024 (N)]]-Tabela74[[#This Row],[Linha de Base 2024 (N) ]])/(Tabela74[[#This Row],[Meta 2024 (N)]]-Tabela74[[#This Row],[Linha de Base 2024 (N) ]]))), "FALSO")</f>
        <v>FALSO</v>
      </c>
      <c r="L15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0.730941571698704</v>
      </c>
      <c r="M15" s="259">
        <f>SUM(Tabela74[[#This Row],[ICM Atribuído - Grupo 1]:[ICM Atribuído - Grupo 4]])</f>
        <v>0.730941571698704</v>
      </c>
      <c r="N15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0.730941571698704</v>
      </c>
      <c r="O15" s="258">
        <f>IF(Tabela74[[#This Row],[APLICANDO FORMULA GRUPO 3 - ENQUADRAMENTO]]&lt;0,0,Tabela74[[#This Row],[APLICANDO FORMULA GRUPO 3 - ENQUADRAMENTO]])</f>
        <v>0.730941571698704</v>
      </c>
    </row>
    <row r="16" spans="1:15">
      <c r="A16" s="252">
        <v>22</v>
      </c>
      <c r="B16" s="253" t="s">
        <v>475</v>
      </c>
      <c r="C16" s="254">
        <v>0.46570972886762363</v>
      </c>
      <c r="D16" s="255">
        <f t="shared" si="0"/>
        <v>46.570972886762362</v>
      </c>
      <c r="E16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Intermediário</v>
      </c>
      <c r="F16" s="257">
        <v>34.234234234234236</v>
      </c>
      <c r="G16" s="255">
        <f>Tabela74[[#This Row],[Meta 2024 (N)]]*0.65</f>
        <v>22.751365</v>
      </c>
      <c r="H16" s="255">
        <v>35.002099999999999</v>
      </c>
      <c r="I16" s="258" t="b">
        <f>IF(E16="Referência",
   IF(Tabela74[[#This Row],[TCC 2024 (N)]]&gt;=Tabela74[[#This Row],[TCC 2023(n)]],1,
      IF(Tabela74[[#This Row],[TCC 2024 (N)]]&gt;=C10,0.95,
         IF(AND(Tabela74[[#This Row],[TCC 2024 (N)]]&lt;Tabela74[[#This Row],[TCC 2024]], Tabela74[[#This Row],[TCC 2024 (N)]]&gt;E9),0.85,
            IF(AND(Tabela74[[#This Row],[TCC 2024 (N)]]&lt;E9, Tabela74[[#This Row],[TCC 2024 (N)]]&gt;=C9),0.8, FALSE)
         )
      )
   )
)</f>
        <v>0</v>
      </c>
      <c r="J16" s="258" t="b">
        <f>IF(E16="Excelência",
   IF(Tabela74[[#This Row],[TCC 2024 (N)]]&gt;=Tabela74[[#This Row],[TCC 2023(n)]],1,
      IF(Tabela74[[#This Row],[TCC 2024 (N)]]&gt;=C10,0.95,
         IF(AND(Tabela74[[#This Row],[TCC 2024 (N)]]&lt;Tabela74[[#This Row],[TCC 2024]], Tabela74[[#This Row],[TCC 2024 (N)]]&gt;E9),0.85,
            IF(AND(Tabela74[[#This Row],[TCC 2024 (N)]]&lt;E9, Tabela74[[#This Row],[TCC 2024 (N)]]&gt;=C9),0.8, FALSE)
         )
      )
   )
)</f>
        <v>0</v>
      </c>
      <c r="K16" s="258">
        <f>IF(E16="Intermediário", MAX(0, MIN(1, (Tabela74[[#This Row],[TCC 2024 (N)]]-Tabela74[[#This Row],[Linha de Base 2024 (N) ]])/(Tabela74[[#This Row],[Meta 2024 (N)]]-Tabela74[[#This Row],[Linha de Base 2024 (N) ]]))), "FALSO")</f>
        <v>1</v>
      </c>
      <c r="L16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16" s="259">
        <f>SUM(Tabela74[[#This Row],[ICM Atribuído - Grupo 1]:[ICM Atribuído - Grupo 4]])</f>
        <v>1</v>
      </c>
      <c r="N16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1</v>
      </c>
      <c r="O16" s="258">
        <f>IF(Tabela74[[#This Row],[APLICANDO FORMULA GRUPO 3 - ENQUADRAMENTO]]&lt;0,0,Tabela74[[#This Row],[APLICANDO FORMULA GRUPO 3 - ENQUADRAMENTO]])</f>
        <v>1</v>
      </c>
    </row>
    <row r="17" spans="1:15">
      <c r="A17" s="260">
        <v>105</v>
      </c>
      <c r="B17" s="261" t="s">
        <v>476</v>
      </c>
      <c r="C17" s="262">
        <v>0.44766505636070852</v>
      </c>
      <c r="D17" s="255">
        <f t="shared" si="0"/>
        <v>44.766505636070853</v>
      </c>
      <c r="E17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Intermediário</v>
      </c>
      <c r="F17" s="263">
        <v>46.785714285714285</v>
      </c>
      <c r="G17" s="255">
        <f>Tabela74[[#This Row],[Meta 2024 (N)]]*0.65</f>
        <v>31.191550000000003</v>
      </c>
      <c r="H17" s="264">
        <v>47.987000000000002</v>
      </c>
      <c r="I17" s="258" t="b">
        <f>IF(E17="Referência",
   IF(Tabela74[[#This Row],[TCC 2024 (N)]]&gt;=Tabela74[[#This Row],[TCC 2023(n)]],1,
      IF(Tabela74[[#This Row],[TCC 2024 (N)]]&gt;=C11,0.95,
         IF(AND(Tabela74[[#This Row],[TCC 2024 (N)]]&lt;Tabela74[[#This Row],[TCC 2024]], Tabela74[[#This Row],[TCC 2024 (N)]]&gt;E10),0.85,
            IF(AND(Tabela74[[#This Row],[TCC 2024 (N)]]&lt;E10, Tabela74[[#This Row],[TCC 2024 (N)]]&gt;=C10),0.8, FALSE)
         )
      )
   )
)</f>
        <v>0</v>
      </c>
      <c r="J17" s="258" t="b">
        <f>IF(E17="Excelência",
   IF(Tabela74[[#This Row],[TCC 2024 (N)]]&gt;=Tabela74[[#This Row],[TCC 2023(n)]],1,
      IF(Tabela74[[#This Row],[TCC 2024 (N)]]&gt;=C11,0.95,
         IF(AND(Tabela74[[#This Row],[TCC 2024 (N)]]&lt;Tabela74[[#This Row],[TCC 2024]], Tabela74[[#This Row],[TCC 2024 (N)]]&gt;E10),0.85,
            IF(AND(Tabela74[[#This Row],[TCC 2024 (N)]]&lt;E10, Tabela74[[#This Row],[TCC 2024 (N)]]&gt;=C10),0.8, FALSE)
         )
      )
   )
)</f>
        <v>0</v>
      </c>
      <c r="K17" s="258">
        <f>IF(E17="Intermediário", MAX(0, MIN(1, (Tabela74[[#This Row],[TCC 2024 (N)]]-Tabela74[[#This Row],[Linha de Base 2024 (N) ]])/(Tabela74[[#This Row],[Meta 2024 (N)]]-Tabela74[[#This Row],[Linha de Base 2024 (N) ]]))), "FALSO")</f>
        <v>0.80825197515224967</v>
      </c>
      <c r="L17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17" s="259">
        <f>SUM(Tabela74[[#This Row],[ICM Atribuído - Grupo 1]:[ICM Atribuído - Grupo 4]])</f>
        <v>0.80825197515224967</v>
      </c>
      <c r="N17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1</v>
      </c>
      <c r="O17" s="258">
        <f>IF(Tabela74[[#This Row],[APLICANDO FORMULA GRUPO 3 - ENQUADRAMENTO]]&lt;0,0,Tabela74[[#This Row],[APLICANDO FORMULA GRUPO 3 - ENQUADRAMENTO]])</f>
        <v>1</v>
      </c>
    </row>
    <row r="18" spans="1:15">
      <c r="A18" s="252">
        <v>106</v>
      </c>
      <c r="B18" s="253" t="s">
        <v>477</v>
      </c>
      <c r="C18" s="254">
        <v>0.47343800000000003</v>
      </c>
      <c r="D18" s="255">
        <f t="shared" si="0"/>
        <v>47.343800000000002</v>
      </c>
      <c r="E18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Intermediário</v>
      </c>
      <c r="F18" s="257">
        <v>47.321428571428569</v>
      </c>
      <c r="G18" s="255">
        <f>Tabela74[[#This Row],[Meta 2024 (N)]]*0.65</f>
        <v>31.508099999999999</v>
      </c>
      <c r="H18" s="255">
        <v>48.473999999999997</v>
      </c>
      <c r="I18" s="258" t="b">
        <f>IF(E18="Referência",
   IF(Tabela74[[#This Row],[TCC 2024 (N)]]&gt;=Tabela74[[#This Row],[TCC 2023(n)]],1,
      IF(Tabela74[[#This Row],[TCC 2024 (N)]]&gt;=C12,0.95,
         IF(AND(Tabela74[[#This Row],[TCC 2024 (N)]]&lt;Tabela74[[#This Row],[TCC 2024]], Tabela74[[#This Row],[TCC 2024 (N)]]&gt;E11),0.85,
            IF(AND(Tabela74[[#This Row],[TCC 2024 (N)]]&lt;E11, Tabela74[[#This Row],[TCC 2024 (N)]]&gt;=C11),0.8, FALSE)
         )
      )
   )
)</f>
        <v>0</v>
      </c>
      <c r="J18" s="258" t="b">
        <f>IF(E18="Excelência",
   IF(Tabela74[[#This Row],[TCC 2024 (N)]]&gt;=Tabela74[[#This Row],[TCC 2023(n)]],1,
      IF(Tabela74[[#This Row],[TCC 2024 (N)]]&gt;=C12,0.95,
         IF(AND(Tabela74[[#This Row],[TCC 2024 (N)]]&lt;Tabela74[[#This Row],[TCC 2024]], Tabela74[[#This Row],[TCC 2024 (N)]]&gt;E11),0.85,
            IF(AND(Tabela74[[#This Row],[TCC 2024 (N)]]&lt;E11, Tabela74[[#This Row],[TCC 2024 (N)]]&gt;=C11),0.8, FALSE)
         )
      )
   )
)</f>
        <v>0</v>
      </c>
      <c r="K18" s="258">
        <f>IF(E18="Intermediário", MAX(0, MIN(1, (Tabela74[[#This Row],[TCC 2024 (N)]]-Tabela74[[#This Row],[Linha de Base 2024 (N) ]])/(Tabela74[[#This Row],[Meta 2024 (N)]]-Tabela74[[#This Row],[Linha de Base 2024 (N) ]]))), "FALSO")</f>
        <v>0.93338402324663028</v>
      </c>
      <c r="L18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18" s="259">
        <f>SUM(Tabela74[[#This Row],[ICM Atribuído - Grupo 1]:[ICM Atribuído - Grupo 4]])</f>
        <v>0.93338402324663028</v>
      </c>
      <c r="N18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1</v>
      </c>
      <c r="O18" s="258">
        <f>IF(Tabela74[[#This Row],[APLICANDO FORMULA GRUPO 3 - ENQUADRAMENTO]]&lt;0,0,Tabela74[[#This Row],[APLICANDO FORMULA GRUPO 3 - ENQUADRAMENTO]])</f>
        <v>1</v>
      </c>
    </row>
    <row r="19" spans="1:15">
      <c r="A19" s="260">
        <v>109</v>
      </c>
      <c r="B19" s="261" t="s">
        <v>478</v>
      </c>
      <c r="C19" s="262">
        <v>0.50487012987012991</v>
      </c>
      <c r="D19" s="255">
        <f t="shared" si="0"/>
        <v>50.487012987012989</v>
      </c>
      <c r="E19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Excelência</v>
      </c>
      <c r="F19" s="263">
        <v>59.375</v>
      </c>
      <c r="G19" s="255">
        <f>Tabela74[[#This Row],[Meta 2024 (N)]]*0.65</f>
        <v>38.630670000000002</v>
      </c>
      <c r="H19" s="264">
        <v>59.431800000000003</v>
      </c>
      <c r="I19" s="258" t="b">
        <f>IF(E19="Referência",
   IF(Tabela74[[#This Row],[TCC 2024 (N)]]&gt;=Tabela74[[#This Row],[TCC 2023(n)]],1,
      IF(Tabela74[[#This Row],[TCC 2024 (N)]]&gt;=C13,0.95,
         IF(AND(Tabela74[[#This Row],[TCC 2024 (N)]]&lt;Tabela74[[#This Row],[TCC 2024]], Tabela74[[#This Row],[TCC 2024 (N)]]&gt;E12),0.85,
            IF(AND(Tabela74[[#This Row],[TCC 2024 (N)]]&lt;E12, Tabela74[[#This Row],[TCC 2024 (N)]]&gt;=C12),0.8, FALSE)
         )
      )
   )
)</f>
        <v>0</v>
      </c>
      <c r="J19" s="258">
        <f>IF(E19="Excelência",
   IF(Tabela74[[#This Row],[TCC 2024 (N)]]&gt;=Tabela74[[#This Row],[TCC 2023(n)]],1,
      IF(Tabela74[[#This Row],[TCC 2024 (N)]]&gt;=C13,0.95,
         IF(AND(Tabela74[[#This Row],[TCC 2024 (N)]]&lt;Tabela74[[#This Row],[TCC 2024]], Tabela74[[#This Row],[TCC 2024 (N)]]&gt;E12),0.85,
            IF(AND(Tabela74[[#This Row],[TCC 2024 (N)]]&lt;E12, Tabela74[[#This Row],[TCC 2024 (N)]]&gt;=C12),0.8, FALSE)
         )
      )
   )
)</f>
        <v>0.95</v>
      </c>
      <c r="K19" s="258" t="str">
        <f>IF(E19="Intermediário", MAX(0, MIN(1, (Tabela74[[#This Row],[TCC 2024 (N)]]-Tabela74[[#This Row],[Linha de Base 2024 (N) ]])/(Tabela74[[#This Row],[Meta 2024 (N)]]-Tabela74[[#This Row],[Linha de Base 2024 (N) ]]))), "FALSO")</f>
        <v>FALSO</v>
      </c>
      <c r="L19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19" s="259">
        <f>SUM(Tabela74[[#This Row],[ICM Atribuído - Grupo 1]:[ICM Atribuído - Grupo 4]])</f>
        <v>0.95</v>
      </c>
      <c r="N19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0.95</v>
      </c>
      <c r="O19" s="258">
        <f>IF(Tabela74[[#This Row],[APLICANDO FORMULA GRUPO 3 - ENQUADRAMENTO]]&lt;0,0,Tabela74[[#This Row],[APLICANDO FORMULA GRUPO 3 - ENQUADRAMENTO]])</f>
        <v>0.95</v>
      </c>
    </row>
    <row r="20" spans="1:15">
      <c r="A20" s="252">
        <v>111</v>
      </c>
      <c r="B20" s="253" t="s">
        <v>479</v>
      </c>
      <c r="C20" s="254">
        <v>0.43137254901960786</v>
      </c>
      <c r="D20" s="255">
        <f t="shared" si="0"/>
        <v>43.137254901960787</v>
      </c>
      <c r="E20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Intermediário</v>
      </c>
      <c r="F20" s="257">
        <v>49.154589371980677</v>
      </c>
      <c r="G20" s="255">
        <f>Tabela74[[#This Row],[Meta 2024 (N)]]*0.65</f>
        <v>32.591325000000005</v>
      </c>
      <c r="H20" s="255">
        <v>50.140500000000003</v>
      </c>
      <c r="I20" s="258" t="b">
        <f>IF(E20="Referência",
   IF(Tabela74[[#This Row],[TCC 2024 (N)]]&gt;=Tabela74[[#This Row],[TCC 2023(n)]],1,
      IF(Tabela74[[#This Row],[TCC 2024 (N)]]&gt;=C14,0.95,
         IF(AND(Tabela74[[#This Row],[TCC 2024 (N)]]&lt;Tabela74[[#This Row],[TCC 2024]], Tabela74[[#This Row],[TCC 2024 (N)]]&gt;E13),0.85,
            IF(AND(Tabela74[[#This Row],[TCC 2024 (N)]]&lt;E13, Tabela74[[#This Row],[TCC 2024 (N)]]&gt;=C13),0.8, FALSE)
         )
      )
   )
)</f>
        <v>0</v>
      </c>
      <c r="J20" s="258" t="b">
        <f>IF(E20="Excelência",
   IF(Tabela74[[#This Row],[TCC 2024 (N)]]&gt;=Tabela74[[#This Row],[TCC 2023(n)]],1,
      IF(Tabela74[[#This Row],[TCC 2024 (N)]]&gt;=C14,0.95,
         IF(AND(Tabela74[[#This Row],[TCC 2024 (N)]]&lt;Tabela74[[#This Row],[TCC 2024]], Tabela74[[#This Row],[TCC 2024 (N)]]&gt;E13),0.85,
            IF(AND(Tabela74[[#This Row],[TCC 2024 (N)]]&lt;E13, Tabela74[[#This Row],[TCC 2024 (N)]]&gt;=C13),0.8, FALSE)
         )
      )
   )
)</f>
        <v>0</v>
      </c>
      <c r="K20" s="258">
        <f>IF(E20="Intermediário", MAX(0, MIN(1, (Tabela74[[#This Row],[TCC 2024 (N)]]-Tabela74[[#This Row],[Linha de Base 2024 (N) ]])/(Tabela74[[#This Row],[Meta 2024 (N)]]-Tabela74[[#This Row],[Linha de Base 2024 (N) ]]))), "FALSO")</f>
        <v>0.60093593584660154</v>
      </c>
      <c r="L20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20" s="259">
        <f>SUM(Tabela74[[#This Row],[ICM Atribuído - Grupo 1]:[ICM Atribuído - Grupo 4]])</f>
        <v>0.60093593584660154</v>
      </c>
      <c r="N20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0.75</v>
      </c>
      <c r="O20" s="258">
        <f>IF(Tabela74[[#This Row],[APLICANDO FORMULA GRUPO 3 - ENQUADRAMENTO]]&lt;0,0,Tabela74[[#This Row],[APLICANDO FORMULA GRUPO 3 - ENQUADRAMENTO]])</f>
        <v>0.75</v>
      </c>
    </row>
    <row r="21" spans="1:15">
      <c r="A21" s="260">
        <v>112</v>
      </c>
      <c r="B21" s="261" t="s">
        <v>480</v>
      </c>
      <c r="C21" s="262">
        <v>0.30711610486891383</v>
      </c>
      <c r="D21" s="255">
        <f t="shared" si="0"/>
        <v>30.711610486891384</v>
      </c>
      <c r="E21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21" s="263">
        <v>36.458333333333329</v>
      </c>
      <c r="G21" s="255">
        <f>Tabela74[[#This Row],[Meta 2024 (N)]]*0.65</f>
        <v>24.0656</v>
      </c>
      <c r="H21" s="264">
        <v>37.024000000000001</v>
      </c>
      <c r="I21" s="258" t="b">
        <f>IF(E21="Referência",
   IF(Tabela74[[#This Row],[TCC 2024 (N)]]&gt;=Tabela74[[#This Row],[TCC 2023(n)]],1,
      IF(Tabela74[[#This Row],[TCC 2024 (N)]]&gt;=C15,0.95,
         IF(AND(Tabela74[[#This Row],[TCC 2024 (N)]]&lt;Tabela74[[#This Row],[TCC 2024]], Tabela74[[#This Row],[TCC 2024 (N)]]&gt;E14),0.85,
            IF(AND(Tabela74[[#This Row],[TCC 2024 (N)]]&lt;E14, Tabela74[[#This Row],[TCC 2024 (N)]]&gt;=C14),0.8, FALSE)
         )
      )
   )
)</f>
        <v>0</v>
      </c>
      <c r="J21" s="258" t="b">
        <f>IF(E21="Excelência",
   IF(Tabela74[[#This Row],[TCC 2024 (N)]]&gt;=Tabela74[[#This Row],[TCC 2023(n)]],1,
      IF(Tabela74[[#This Row],[TCC 2024 (N)]]&gt;=C15,0.95,
         IF(AND(Tabela74[[#This Row],[TCC 2024 (N)]]&lt;Tabela74[[#This Row],[TCC 2024]], Tabela74[[#This Row],[TCC 2024 (N)]]&gt;E14),0.85,
            IF(AND(Tabela74[[#This Row],[TCC 2024 (N)]]&lt;E14, Tabela74[[#This Row],[TCC 2024 (N)]]&gt;=C14),0.8, FALSE)
         )
      )
   )
)</f>
        <v>0</v>
      </c>
      <c r="K21" s="258" t="str">
        <f>IF(E21="Intermediário", MAX(0, MIN(1, (Tabela74[[#This Row],[TCC 2024 (N)]]-Tabela74[[#This Row],[Linha de Base 2024 (N) ]])/(Tabela74[[#This Row],[Meta 2024 (N)]]-Tabela74[[#This Row],[Linha de Base 2024 (N) ]]))), "FALSO")</f>
        <v>FALSO</v>
      </c>
      <c r="L21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0.51287276877480126</v>
      </c>
      <c r="M21" s="259">
        <f>SUM(Tabela74[[#This Row],[ICM Atribuído - Grupo 1]:[ICM Atribuído - Grupo 4]])</f>
        <v>0.51287276877480126</v>
      </c>
      <c r="N21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0.51287276877480126</v>
      </c>
      <c r="O21" s="258">
        <f>IF(Tabela74[[#This Row],[APLICANDO FORMULA GRUPO 3 - ENQUADRAMENTO]]&lt;0,0,Tabela74[[#This Row],[APLICANDO FORMULA GRUPO 3 - ENQUADRAMENTO]])</f>
        <v>0.51287276877480126</v>
      </c>
    </row>
    <row r="22" spans="1:15">
      <c r="A22" s="252">
        <v>113</v>
      </c>
      <c r="B22" s="253" t="s">
        <v>481</v>
      </c>
      <c r="C22" s="254">
        <v>0.49285714285714288</v>
      </c>
      <c r="D22" s="255">
        <f t="shared" si="0"/>
        <v>49.285714285714292</v>
      </c>
      <c r="E22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Intermediário</v>
      </c>
      <c r="F22" s="257">
        <v>47.874015748031496</v>
      </c>
      <c r="G22" s="255">
        <f>Tabela74[[#This Row],[Meta 2024 (N)]]*0.65</f>
        <v>31.83466</v>
      </c>
      <c r="H22" s="255">
        <v>48.976399999999998</v>
      </c>
      <c r="I22" s="258" t="b">
        <f>IF(E22="Referência",
   IF(Tabela74[[#This Row],[TCC 2024 (N)]]&gt;=Tabela74[[#This Row],[TCC 2023(n)]],1,
      IF(Tabela74[[#This Row],[TCC 2024 (N)]]&gt;=C16,0.95,
         IF(AND(Tabela74[[#This Row],[TCC 2024 (N)]]&lt;Tabela74[[#This Row],[TCC 2024]], Tabela74[[#This Row],[TCC 2024 (N)]]&gt;E15),0.85,
            IF(AND(Tabela74[[#This Row],[TCC 2024 (N)]]&lt;E15, Tabela74[[#This Row],[TCC 2024 (N)]]&gt;=C15),0.8, FALSE)
         )
      )
   )
)</f>
        <v>0</v>
      </c>
      <c r="J22" s="258" t="b">
        <f>IF(E22="Excelência",
   IF(Tabela74[[#This Row],[TCC 2024 (N)]]&gt;=Tabela74[[#This Row],[TCC 2023(n)]],1,
      IF(Tabela74[[#This Row],[TCC 2024 (N)]]&gt;=C16,0.95,
         IF(AND(Tabela74[[#This Row],[TCC 2024 (N)]]&lt;Tabela74[[#This Row],[TCC 2024]], Tabela74[[#This Row],[TCC 2024 (N)]]&gt;E15),0.85,
            IF(AND(Tabela74[[#This Row],[TCC 2024 (N)]]&lt;E15, Tabela74[[#This Row],[TCC 2024 (N)]]&gt;=C15),0.8, FALSE)
         )
      )
   )
)</f>
        <v>0</v>
      </c>
      <c r="K22" s="258">
        <f>IF(E22="Intermediário", MAX(0, MIN(1, (Tabela74[[#This Row],[TCC 2024 (N)]]-Tabela74[[#This Row],[Linha de Base 2024 (N) ]])/(Tabela74[[#This Row],[Meta 2024 (N)]]-Tabela74[[#This Row],[Linha de Base 2024 (N) ]]))), "FALSO")</f>
        <v>1</v>
      </c>
      <c r="L22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22" s="259">
        <f>SUM(Tabela74[[#This Row],[ICM Atribuído - Grupo 1]:[ICM Atribuído - Grupo 4]])</f>
        <v>1</v>
      </c>
      <c r="N22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1</v>
      </c>
      <c r="O22" s="258">
        <f>IF(Tabela74[[#This Row],[APLICANDO FORMULA GRUPO 3 - ENQUADRAMENTO]]&lt;0,0,Tabela74[[#This Row],[APLICANDO FORMULA GRUPO 3 - ENQUADRAMENTO]])</f>
        <v>1</v>
      </c>
    </row>
    <row r="23" spans="1:15">
      <c r="A23" s="260">
        <v>114</v>
      </c>
      <c r="B23" s="261" t="s">
        <v>482</v>
      </c>
      <c r="C23" s="262">
        <v>0.43973941368078173</v>
      </c>
      <c r="D23" s="255">
        <f t="shared" si="0"/>
        <v>43.973941368078172</v>
      </c>
      <c r="E23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Intermediário</v>
      </c>
      <c r="F23" s="263">
        <v>47.884615384615387</v>
      </c>
      <c r="G23" s="255">
        <f>Tabela74[[#This Row],[Meta 2024 (N)]]*0.65</f>
        <v>31.840899999999998</v>
      </c>
      <c r="H23" s="264">
        <v>48.985999999999997</v>
      </c>
      <c r="I23" s="258" t="b">
        <f>IF(E23="Referência",
   IF(Tabela74[[#This Row],[TCC 2024 (N)]]&gt;=Tabela74[[#This Row],[TCC 2023(n)]],1,
      IF(Tabela74[[#This Row],[TCC 2024 (N)]]&gt;=C17,0.95,
         IF(AND(Tabela74[[#This Row],[TCC 2024 (N)]]&lt;Tabela74[[#This Row],[TCC 2024]], Tabela74[[#This Row],[TCC 2024 (N)]]&gt;E16),0.85,
            IF(AND(Tabela74[[#This Row],[TCC 2024 (N)]]&lt;E16, Tabela74[[#This Row],[TCC 2024 (N)]]&gt;=C16),0.8, FALSE)
         )
      )
   )
)</f>
        <v>0</v>
      </c>
      <c r="J23" s="258" t="b">
        <f>IF(E23="Excelência",
   IF(Tabela74[[#This Row],[TCC 2024 (N)]]&gt;=Tabela74[[#This Row],[TCC 2023(n)]],1,
      IF(Tabela74[[#This Row],[TCC 2024 (N)]]&gt;=C17,0.95,
         IF(AND(Tabela74[[#This Row],[TCC 2024 (N)]]&lt;Tabela74[[#This Row],[TCC 2024]], Tabela74[[#This Row],[TCC 2024 (N)]]&gt;E16),0.85,
            IF(AND(Tabela74[[#This Row],[TCC 2024 (N)]]&lt;E16, Tabela74[[#This Row],[TCC 2024 (N)]]&gt;=C16),0.8, FALSE)
         )
      )
   )
)</f>
        <v>0</v>
      </c>
      <c r="K23" s="258">
        <f>IF(E23="Intermediário", MAX(0, MIN(1, (Tabela74[[#This Row],[TCC 2024 (N)]]-Tabela74[[#This Row],[Linha de Base 2024 (N) ]])/(Tabela74[[#This Row],[Meta 2024 (N)]]-Tabela74[[#This Row],[Linha de Base 2024 (N) ]]))), "FALSO")</f>
        <v>0.70766815988697496</v>
      </c>
      <c r="L23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23" s="259">
        <f>SUM(Tabela74[[#This Row],[ICM Atribuído - Grupo 1]:[ICM Atribuído - Grupo 4]])</f>
        <v>0.70766815988697496</v>
      </c>
      <c r="N23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0.75</v>
      </c>
      <c r="O23" s="258">
        <f>IF(Tabela74[[#This Row],[APLICANDO FORMULA GRUPO 3 - ENQUADRAMENTO]]&lt;0,0,Tabela74[[#This Row],[APLICANDO FORMULA GRUPO 3 - ENQUADRAMENTO]])</f>
        <v>0.75</v>
      </c>
    </row>
    <row r="24" spans="1:15">
      <c r="A24" s="252">
        <v>119</v>
      </c>
      <c r="B24" s="253" t="s">
        <v>483</v>
      </c>
      <c r="C24" s="254">
        <v>0.35789473684210527</v>
      </c>
      <c r="D24" s="255">
        <f t="shared" si="0"/>
        <v>35.789473684210527</v>
      </c>
      <c r="E24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24" s="257">
        <v>43.333333333333336</v>
      </c>
      <c r="G24" s="255">
        <f>Tabela74[[#This Row],[Meta 2024 (N)]]*0.65</f>
        <v>29.151525000000003</v>
      </c>
      <c r="H24" s="255">
        <v>44.848500000000001</v>
      </c>
      <c r="I24" s="258" t="b">
        <f>IF(E24="Referência",
   IF(Tabela74[[#This Row],[TCC 2024 (N)]]&gt;=Tabela74[[#This Row],[TCC 2023(n)]],1,
      IF(Tabela74[[#This Row],[TCC 2024 (N)]]&gt;=C18,0.95,
         IF(AND(Tabela74[[#This Row],[TCC 2024 (N)]]&lt;Tabela74[[#This Row],[TCC 2024]], Tabela74[[#This Row],[TCC 2024 (N)]]&gt;E17),0.85,
            IF(AND(Tabela74[[#This Row],[TCC 2024 (N)]]&lt;E17, Tabela74[[#This Row],[TCC 2024 (N)]]&gt;=C17),0.8, FALSE)
         )
      )
   )
)</f>
        <v>0</v>
      </c>
      <c r="J24" s="258" t="b">
        <f>IF(E24="Excelência",
   IF(Tabela74[[#This Row],[TCC 2024 (N)]]&gt;=Tabela74[[#This Row],[TCC 2023(n)]],1,
      IF(Tabela74[[#This Row],[TCC 2024 (N)]]&gt;=C18,0.95,
         IF(AND(Tabela74[[#This Row],[TCC 2024 (N)]]&lt;Tabela74[[#This Row],[TCC 2024]], Tabela74[[#This Row],[TCC 2024 (N)]]&gt;E17),0.85,
            IF(AND(Tabela74[[#This Row],[TCC 2024 (N)]]&lt;E17, Tabela74[[#This Row],[TCC 2024 (N)]]&gt;=C17),0.8, FALSE)
         )
      )
   )
)</f>
        <v>0</v>
      </c>
      <c r="K24" s="258" t="str">
        <f>IF(E24="Intermediário", MAX(0, MIN(1, (Tabela74[[#This Row],[TCC 2024 (N)]]-Tabela74[[#This Row],[Linha de Base 2024 (N) ]])/(Tabela74[[#This Row],[Meta 2024 (N)]]-Tabela74[[#This Row],[Linha de Base 2024 (N) ]]))), "FALSO")</f>
        <v>FALSO</v>
      </c>
      <c r="L24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0.42288075786643764</v>
      </c>
      <c r="M24" s="259">
        <f>SUM(Tabela74[[#This Row],[ICM Atribuído - Grupo 1]:[ICM Atribuído - Grupo 4]])</f>
        <v>0.42288075786643764</v>
      </c>
      <c r="N24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0.42288075786643764</v>
      </c>
      <c r="O24" s="258">
        <f>IF(Tabela74[[#This Row],[APLICANDO FORMULA GRUPO 3 - ENQUADRAMENTO]]&lt;0,0,Tabela74[[#This Row],[APLICANDO FORMULA GRUPO 3 - ENQUADRAMENTO]])</f>
        <v>0.42288075786643764</v>
      </c>
    </row>
    <row r="25" spans="1:15">
      <c r="A25" s="260">
        <v>120</v>
      </c>
      <c r="B25" s="261" t="s">
        <v>484</v>
      </c>
      <c r="C25" s="262">
        <v>0.24473684210526317</v>
      </c>
      <c r="D25" s="255">
        <f t="shared" si="0"/>
        <v>24.473684210526319</v>
      </c>
      <c r="E25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25" s="263">
        <v>42.545454545454547</v>
      </c>
      <c r="G25" s="255">
        <f>Tabela74[[#This Row],[Meta 2024 (N)]]*0.65</f>
        <v>27.662504999999999</v>
      </c>
      <c r="H25" s="264">
        <v>42.557699999999997</v>
      </c>
      <c r="I25" s="258" t="b">
        <f>IF(E25="Referência",
   IF(Tabela74[[#This Row],[TCC 2024 (N)]]&gt;=Tabela74[[#This Row],[TCC 2023(n)]],1,
      IF(Tabela74[[#This Row],[TCC 2024 (N)]]&gt;=C19,0.95,
         IF(AND(Tabela74[[#This Row],[TCC 2024 (N)]]&lt;Tabela74[[#This Row],[TCC 2024]], Tabela74[[#This Row],[TCC 2024 (N)]]&gt;E18),0.85,
            IF(AND(Tabela74[[#This Row],[TCC 2024 (N)]]&lt;E18, Tabela74[[#This Row],[TCC 2024 (N)]]&gt;=C18),0.8, FALSE)
         )
      )
   )
)</f>
        <v>0</v>
      </c>
      <c r="J25" s="258" t="b">
        <f>IF(E25="Excelência",
   IF(Tabela74[[#This Row],[TCC 2024 (N)]]&gt;=Tabela74[[#This Row],[TCC 2023(n)]],1,
      IF(Tabela74[[#This Row],[TCC 2024 (N)]]&gt;=C19,0.95,
         IF(AND(Tabela74[[#This Row],[TCC 2024 (N)]]&lt;Tabela74[[#This Row],[TCC 2024]], Tabela74[[#This Row],[TCC 2024 (N)]]&gt;E18),0.85,
            IF(AND(Tabela74[[#This Row],[TCC 2024 (N)]]&lt;E18, Tabela74[[#This Row],[TCC 2024 (N)]]&gt;=C18),0.8, FALSE)
         )
      )
   )
)</f>
        <v>0</v>
      </c>
      <c r="K25" s="258" t="str">
        <f>IF(E25="Intermediário", MAX(0, MIN(1, (Tabela74[[#This Row],[TCC 2024 (N)]]-Tabela74[[#This Row],[Linha de Base 2024 (N) ]])/(Tabela74[[#This Row],[Meta 2024 (N)]]-Tabela74[[#This Row],[Linha de Base 2024 (N) ]]))), "FALSO")</f>
        <v>FALSO</v>
      </c>
      <c r="L25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-0.21408385653720421</v>
      </c>
      <c r="M25" s="259">
        <f>SUM(Tabela74[[#This Row],[ICM Atribuído - Grupo 1]:[ICM Atribuído - Grupo 4]])</f>
        <v>-0.21408385653720421</v>
      </c>
      <c r="N25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-0.21408385653720421</v>
      </c>
      <c r="O25" s="258">
        <f>IF(Tabela74[[#This Row],[APLICANDO FORMULA GRUPO 3 - ENQUADRAMENTO]]&lt;0,0,Tabela74[[#This Row],[APLICANDO FORMULA GRUPO 3 - ENQUADRAMENTO]])</f>
        <v>0</v>
      </c>
    </row>
    <row r="26" spans="1:15">
      <c r="A26" s="252">
        <v>121</v>
      </c>
      <c r="B26" s="253" t="s">
        <v>485</v>
      </c>
      <c r="C26" s="254">
        <v>0.44565217391304346</v>
      </c>
      <c r="D26" s="255">
        <f t="shared" si="0"/>
        <v>44.565217391304344</v>
      </c>
      <c r="E26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Intermediário</v>
      </c>
      <c r="F26" s="257">
        <v>47.5</v>
      </c>
      <c r="G26" s="255">
        <f>Tabela74[[#This Row],[Meta 2024 (N)]]*0.65</f>
        <v>31.613660000000003</v>
      </c>
      <c r="H26" s="255">
        <v>48.636400000000002</v>
      </c>
      <c r="I26" s="258" t="b">
        <f>IF(E26="Referência",
   IF(Tabela74[[#This Row],[TCC 2024 (N)]]&gt;=Tabela74[[#This Row],[TCC 2023(n)]],1,
      IF(Tabela74[[#This Row],[TCC 2024 (N)]]&gt;=C20,0.95,
         IF(AND(Tabela74[[#This Row],[TCC 2024 (N)]]&lt;Tabela74[[#This Row],[TCC 2024]], Tabela74[[#This Row],[TCC 2024 (N)]]&gt;E19),0.85,
            IF(AND(Tabela74[[#This Row],[TCC 2024 (N)]]&lt;E19, Tabela74[[#This Row],[TCC 2024 (N)]]&gt;=C19),0.8, FALSE)
         )
      )
   )
)</f>
        <v>0</v>
      </c>
      <c r="J26" s="258" t="b">
        <f>IF(E26="Excelência",
   IF(Tabela74[[#This Row],[TCC 2024 (N)]]&gt;=Tabela74[[#This Row],[TCC 2023(n)]],1,
      IF(Tabela74[[#This Row],[TCC 2024 (N)]]&gt;=C20,0.95,
         IF(AND(Tabela74[[#This Row],[TCC 2024 (N)]]&lt;Tabela74[[#This Row],[TCC 2024]], Tabela74[[#This Row],[TCC 2024 (N)]]&gt;E19),0.85,
            IF(AND(Tabela74[[#This Row],[TCC 2024 (N)]]&lt;E19, Tabela74[[#This Row],[TCC 2024 (N)]]&gt;=C19),0.8, FALSE)
         )
      )
   )
)</f>
        <v>0</v>
      </c>
      <c r="K26" s="258">
        <f>IF(E26="Intermediário", MAX(0, MIN(1, (Tabela74[[#This Row],[TCC 2024 (N)]]-Tabela74[[#This Row],[Linha de Base 2024 (N) ]])/(Tabela74[[#This Row],[Meta 2024 (N)]]-Tabela74[[#This Row],[Linha de Base 2024 (N) ]]))), "FALSO")</f>
        <v>0.76083858364190149</v>
      </c>
      <c r="L26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26" s="259">
        <f>SUM(Tabela74[[#This Row],[ICM Atribuído - Grupo 1]:[ICM Atribuído - Grupo 4]])</f>
        <v>0.76083858364190149</v>
      </c>
      <c r="N26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1</v>
      </c>
      <c r="O26" s="258">
        <f>IF(Tabela74[[#This Row],[APLICANDO FORMULA GRUPO 3 - ENQUADRAMENTO]]&lt;0,0,Tabela74[[#This Row],[APLICANDO FORMULA GRUPO 3 - ENQUADRAMENTO]])</f>
        <v>1</v>
      </c>
    </row>
    <row r="27" spans="1:15">
      <c r="A27" s="260">
        <v>126</v>
      </c>
      <c r="B27" s="261" t="s">
        <v>486</v>
      </c>
      <c r="C27" s="262">
        <v>0.50108932461873634</v>
      </c>
      <c r="D27" s="255">
        <f t="shared" si="0"/>
        <v>50.108932461873636</v>
      </c>
      <c r="E27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Excelência</v>
      </c>
      <c r="F27" s="263">
        <v>64.722222222222229</v>
      </c>
      <c r="G27" s="255">
        <f>Tabela74[[#This Row],[Meta 2024 (N)]]*0.65</f>
        <v>42.287310000000005</v>
      </c>
      <c r="H27" s="264">
        <v>65.057400000000001</v>
      </c>
      <c r="I27" s="258" t="b">
        <f>IF(E27="Referência",
   IF(Tabela74[[#This Row],[TCC 2024 (N)]]&gt;=Tabela74[[#This Row],[TCC 2023(n)]],1,
      IF(Tabela74[[#This Row],[TCC 2024 (N)]]&gt;=C21,0.95,
         IF(AND(Tabela74[[#This Row],[TCC 2024 (N)]]&lt;Tabela74[[#This Row],[TCC 2024]], Tabela74[[#This Row],[TCC 2024 (N)]]&gt;E20),0.85,
            IF(AND(Tabela74[[#This Row],[TCC 2024 (N)]]&lt;E20, Tabela74[[#This Row],[TCC 2024 (N)]]&gt;=C20),0.8, FALSE)
         )
      )
   )
)</f>
        <v>0</v>
      </c>
      <c r="J27" s="258">
        <f>IF(E27="Excelência",
   IF(Tabela74[[#This Row],[TCC 2024 (N)]]&gt;=Tabela74[[#This Row],[TCC 2023(n)]],1,
      IF(Tabela74[[#This Row],[TCC 2024 (N)]]&gt;=C21,0.95,
         IF(AND(Tabela74[[#This Row],[TCC 2024 (N)]]&lt;Tabela74[[#This Row],[TCC 2024]], Tabela74[[#This Row],[TCC 2024 (N)]]&gt;E20),0.85,
            IF(AND(Tabela74[[#This Row],[TCC 2024 (N)]]&lt;E20, Tabela74[[#This Row],[TCC 2024 (N)]]&gt;=C20),0.8, FALSE)
         )
      )
   )
)</f>
        <v>0.95</v>
      </c>
      <c r="K27" s="258" t="str">
        <f>IF(E27="Intermediário", MAX(0, MIN(1, (Tabela74[[#This Row],[TCC 2024 (N)]]-Tabela74[[#This Row],[Linha de Base 2024 (N) ]])/(Tabela74[[#This Row],[Meta 2024 (N)]]-Tabela74[[#This Row],[Linha de Base 2024 (N) ]]))), "FALSO")</f>
        <v>FALSO</v>
      </c>
      <c r="L27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27" s="259">
        <f>SUM(Tabela74[[#This Row],[ICM Atribuído - Grupo 1]:[ICM Atribuído - Grupo 4]])</f>
        <v>0.95</v>
      </c>
      <c r="N27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0.95</v>
      </c>
      <c r="O27" s="258">
        <f>IF(Tabela74[[#This Row],[APLICANDO FORMULA GRUPO 3 - ENQUADRAMENTO]]&lt;0,0,Tabela74[[#This Row],[APLICANDO FORMULA GRUPO 3 - ENQUADRAMENTO]])</f>
        <v>0.95</v>
      </c>
    </row>
    <row r="28" spans="1:15">
      <c r="A28" s="252">
        <v>127</v>
      </c>
      <c r="B28" s="253" t="s">
        <v>487</v>
      </c>
      <c r="C28" s="254">
        <v>0.4344262295081967</v>
      </c>
      <c r="D28" s="255">
        <f t="shared" si="0"/>
        <v>43.442622950819668</v>
      </c>
      <c r="E28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Intermediário</v>
      </c>
      <c r="F28" s="257">
        <v>40.3125</v>
      </c>
      <c r="G28" s="255">
        <f>Tabela74[[#This Row],[Meta 2024 (N)]]*0.65</f>
        <v>26.343070000000001</v>
      </c>
      <c r="H28" s="255">
        <v>40.527799999999999</v>
      </c>
      <c r="I28" s="258" t="b">
        <f>IF(E28="Referência",
   IF(Tabela74[[#This Row],[TCC 2024 (N)]]&gt;=Tabela74[[#This Row],[TCC 2023(n)]],1,
      IF(Tabela74[[#This Row],[TCC 2024 (N)]]&gt;=C22,0.95,
         IF(AND(Tabela74[[#This Row],[TCC 2024 (N)]]&lt;Tabela74[[#This Row],[TCC 2024]], Tabela74[[#This Row],[TCC 2024 (N)]]&gt;E21),0.85,
            IF(AND(Tabela74[[#This Row],[TCC 2024 (N)]]&lt;E21, Tabela74[[#This Row],[TCC 2024 (N)]]&gt;=C21),0.8, FALSE)
         )
      )
   )
)</f>
        <v>0</v>
      </c>
      <c r="J28" s="258" t="b">
        <f>IF(E28="Excelência",
   IF(Tabela74[[#This Row],[TCC 2024 (N)]]&gt;=Tabela74[[#This Row],[TCC 2023(n)]],1,
      IF(Tabela74[[#This Row],[TCC 2024 (N)]]&gt;=C22,0.95,
         IF(AND(Tabela74[[#This Row],[TCC 2024 (N)]]&lt;Tabela74[[#This Row],[TCC 2024]], Tabela74[[#This Row],[TCC 2024 (N)]]&gt;E21),0.85,
            IF(AND(Tabela74[[#This Row],[TCC 2024 (N)]]&lt;E21, Tabela74[[#This Row],[TCC 2024 (N)]]&gt;=C21),0.8, FALSE)
         )
      )
   )
)</f>
        <v>0</v>
      </c>
      <c r="K28" s="258">
        <f>IF(E28="Intermediário", MAX(0, MIN(1, (Tabela74[[#This Row],[TCC 2024 (N)]]-Tabela74[[#This Row],[Linha de Base 2024 (N) ]])/(Tabela74[[#This Row],[Meta 2024 (N)]]-Tabela74[[#This Row],[Linha de Base 2024 (N) ]]))), "FALSO")</f>
        <v>1</v>
      </c>
      <c r="L28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28" s="259">
        <f>SUM(Tabela74[[#This Row],[ICM Atribuído - Grupo 1]:[ICM Atribuído - Grupo 4]])</f>
        <v>1</v>
      </c>
      <c r="N28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1</v>
      </c>
      <c r="O28" s="258">
        <f>IF(Tabela74[[#This Row],[APLICANDO FORMULA GRUPO 3 - ENQUADRAMENTO]]&lt;0,0,Tabela74[[#This Row],[APLICANDO FORMULA GRUPO 3 - ENQUADRAMENTO]])</f>
        <v>1</v>
      </c>
    </row>
    <row r="29" spans="1:15">
      <c r="A29" s="260">
        <v>129</v>
      </c>
      <c r="B29" s="261" t="s">
        <v>488</v>
      </c>
      <c r="C29" s="262">
        <v>0.4371345029239766</v>
      </c>
      <c r="D29" s="255">
        <f t="shared" si="0"/>
        <v>43.71345029239766</v>
      </c>
      <c r="E29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Intermediário</v>
      </c>
      <c r="F29" s="263">
        <v>32.65625</v>
      </c>
      <c r="G29" s="255">
        <f>Tabela74[[#This Row],[Meta 2024 (N)]]*0.65</f>
        <v>21.818875000000002</v>
      </c>
      <c r="H29" s="264">
        <v>33.567500000000003</v>
      </c>
      <c r="I29" s="258" t="b">
        <f>IF(E29="Referência",
   IF(Tabela74[[#This Row],[TCC 2024 (N)]]&gt;=Tabela74[[#This Row],[TCC 2023(n)]],1,
      IF(Tabela74[[#This Row],[TCC 2024 (N)]]&gt;=C23,0.95,
         IF(AND(Tabela74[[#This Row],[TCC 2024 (N)]]&lt;Tabela74[[#This Row],[TCC 2024]], Tabela74[[#This Row],[TCC 2024 (N)]]&gt;E22),0.85,
            IF(AND(Tabela74[[#This Row],[TCC 2024 (N)]]&lt;E22, Tabela74[[#This Row],[TCC 2024 (N)]]&gt;=C22),0.8, FALSE)
         )
      )
   )
)</f>
        <v>0</v>
      </c>
      <c r="J29" s="258" t="b">
        <f>IF(E29="Excelência",
   IF(Tabela74[[#This Row],[TCC 2024 (N)]]&gt;=Tabela74[[#This Row],[TCC 2023(n)]],1,
      IF(Tabela74[[#This Row],[TCC 2024 (N)]]&gt;=C23,0.95,
         IF(AND(Tabela74[[#This Row],[TCC 2024 (N)]]&lt;Tabela74[[#This Row],[TCC 2024]], Tabela74[[#This Row],[TCC 2024 (N)]]&gt;E22),0.85,
            IF(AND(Tabela74[[#This Row],[TCC 2024 (N)]]&lt;E22, Tabela74[[#This Row],[TCC 2024 (N)]]&gt;=C22),0.8, FALSE)
         )
      )
   )
)</f>
        <v>0</v>
      </c>
      <c r="K29" s="258">
        <f>IF(E29="Intermediário", MAX(0, MIN(1, (Tabela74[[#This Row],[TCC 2024 (N)]]-Tabela74[[#This Row],[Linha de Base 2024 (N) ]])/(Tabela74[[#This Row],[Meta 2024 (N)]]-Tabela74[[#This Row],[Linha de Base 2024 (N) ]]))), "FALSO")</f>
        <v>1</v>
      </c>
      <c r="L29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29" s="259">
        <f>SUM(Tabela74[[#This Row],[ICM Atribuído - Grupo 1]:[ICM Atribuído - Grupo 4]])</f>
        <v>1</v>
      </c>
      <c r="N29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1</v>
      </c>
      <c r="O29" s="258">
        <f>IF(Tabela74[[#This Row],[APLICANDO FORMULA GRUPO 3 - ENQUADRAMENTO]]&lt;0,0,Tabela74[[#This Row],[APLICANDO FORMULA GRUPO 3 - ENQUADRAMENTO]])</f>
        <v>1</v>
      </c>
    </row>
    <row r="30" spans="1:15">
      <c r="A30" s="252">
        <v>130</v>
      </c>
      <c r="B30" s="253" t="s">
        <v>489</v>
      </c>
      <c r="C30" s="254">
        <v>0.32441471571906355</v>
      </c>
      <c r="D30" s="255">
        <f t="shared" si="0"/>
        <v>32.441471571906355</v>
      </c>
      <c r="E30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30" s="257">
        <v>44.166666666666664</v>
      </c>
      <c r="G30" s="255">
        <f>Tabela74[[#This Row],[Meta 2024 (N)]]*0.65</f>
        <v>29.643964999999998</v>
      </c>
      <c r="H30" s="255">
        <v>45.606099999999998</v>
      </c>
      <c r="I30" s="258" t="b">
        <f>IF(E30="Referência",
   IF(Tabela74[[#This Row],[TCC 2024 (N)]]&gt;=Tabela74[[#This Row],[TCC 2023(n)]],1,
      IF(Tabela74[[#This Row],[TCC 2024 (N)]]&gt;=C24,0.95,
         IF(AND(Tabela74[[#This Row],[TCC 2024 (N)]]&lt;Tabela74[[#This Row],[TCC 2024]], Tabela74[[#This Row],[TCC 2024 (N)]]&gt;E23),0.85,
            IF(AND(Tabela74[[#This Row],[TCC 2024 (N)]]&lt;E23, Tabela74[[#This Row],[TCC 2024 (N)]]&gt;=C23),0.8, FALSE)
         )
      )
   )
)</f>
        <v>0</v>
      </c>
      <c r="J30" s="258" t="b">
        <f>IF(E30="Excelência",
   IF(Tabela74[[#This Row],[TCC 2024 (N)]]&gt;=Tabela74[[#This Row],[TCC 2023(n)]],1,
      IF(Tabela74[[#This Row],[TCC 2024 (N)]]&gt;=C24,0.95,
         IF(AND(Tabela74[[#This Row],[TCC 2024 (N)]]&lt;Tabela74[[#This Row],[TCC 2024]], Tabela74[[#This Row],[TCC 2024 (N)]]&gt;E23),0.85,
            IF(AND(Tabela74[[#This Row],[TCC 2024 (N)]]&lt;E23, Tabela74[[#This Row],[TCC 2024 (N)]]&gt;=C23),0.8, FALSE)
         )
      )
   )
)</f>
        <v>0</v>
      </c>
      <c r="K30" s="258" t="str">
        <f>IF(E30="Intermediário", MAX(0, MIN(1, (Tabela74[[#This Row],[TCC 2024 (N)]]-Tabela74[[#This Row],[Linha de Base 2024 (N) ]])/(Tabela74[[#This Row],[Meta 2024 (N)]]-Tabela74[[#This Row],[Linha de Base 2024 (N) ]]))), "FALSO")</f>
        <v>FALSO</v>
      </c>
      <c r="L30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0.1752589219365929</v>
      </c>
      <c r="M30" s="259">
        <f>SUM(Tabela74[[#This Row],[ICM Atribuído - Grupo 1]:[ICM Atribuído - Grupo 4]])</f>
        <v>0.1752589219365929</v>
      </c>
      <c r="N30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0.1752589219365929</v>
      </c>
      <c r="O30" s="258">
        <f>IF(Tabela74[[#This Row],[APLICANDO FORMULA GRUPO 3 - ENQUADRAMENTO]]&lt;0,0,Tabela74[[#This Row],[APLICANDO FORMULA GRUPO 3 - ENQUADRAMENTO]])</f>
        <v>0.1752589219365929</v>
      </c>
    </row>
    <row r="31" spans="1:15">
      <c r="A31" s="260">
        <v>131</v>
      </c>
      <c r="B31" s="261" t="s">
        <v>490</v>
      </c>
      <c r="C31" s="262">
        <v>0.33387096774193548</v>
      </c>
      <c r="D31" s="255">
        <f t="shared" si="0"/>
        <v>33.387096774193544</v>
      </c>
      <c r="E31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31" s="263">
        <v>31.272727272727273</v>
      </c>
      <c r="G31" s="255">
        <f>Tabela74[[#This Row],[Meta 2024 (N)]]*0.65</f>
        <v>21.001370000000001</v>
      </c>
      <c r="H31" s="264">
        <v>32.309800000000003</v>
      </c>
      <c r="I31" s="258" t="b">
        <f>IF(E31="Referência",
   IF(Tabela74[[#This Row],[TCC 2024 (N)]]&gt;=Tabela74[[#This Row],[TCC 2023(n)]],1,
      IF(Tabela74[[#This Row],[TCC 2024 (N)]]&gt;=C25,0.95,
         IF(AND(Tabela74[[#This Row],[TCC 2024 (N)]]&lt;Tabela74[[#This Row],[TCC 2024]], Tabela74[[#This Row],[TCC 2024 (N)]]&gt;E24),0.85,
            IF(AND(Tabela74[[#This Row],[TCC 2024 (N)]]&lt;E24, Tabela74[[#This Row],[TCC 2024 (N)]]&gt;=C24),0.8, FALSE)
         )
      )
   )
)</f>
        <v>0</v>
      </c>
      <c r="J31" s="258" t="b">
        <f>IF(E31="Excelência",
   IF(Tabela74[[#This Row],[TCC 2024 (N)]]&gt;=Tabela74[[#This Row],[TCC 2023(n)]],1,
      IF(Tabela74[[#This Row],[TCC 2024 (N)]]&gt;=C25,0.95,
         IF(AND(Tabela74[[#This Row],[TCC 2024 (N)]]&lt;Tabela74[[#This Row],[TCC 2024]], Tabela74[[#This Row],[TCC 2024 (N)]]&gt;E24),0.85,
            IF(AND(Tabela74[[#This Row],[TCC 2024 (N)]]&lt;E24, Tabela74[[#This Row],[TCC 2024 (N)]]&gt;=C24),0.8, FALSE)
         )
      )
   )
)</f>
        <v>0</v>
      </c>
      <c r="K31" s="258" t="str">
        <f>IF(E31="Intermediário", MAX(0, MIN(1, (Tabela74[[#This Row],[TCC 2024 (N)]]-Tabela74[[#This Row],[Linha de Base 2024 (N) ]])/(Tabela74[[#This Row],[Meta 2024 (N)]]-Tabela74[[#This Row],[Linha de Base 2024 (N) ]]))), "FALSO")</f>
        <v>FALSO</v>
      </c>
      <c r="L31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1</v>
      </c>
      <c r="M31" s="259">
        <f>SUM(Tabela74[[#This Row],[ICM Atribuído - Grupo 1]:[ICM Atribuído - Grupo 4]])</f>
        <v>1</v>
      </c>
      <c r="N31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1</v>
      </c>
      <c r="O31" s="258">
        <f>IF(Tabela74[[#This Row],[APLICANDO FORMULA GRUPO 3 - ENQUADRAMENTO]]&lt;0,0,Tabela74[[#This Row],[APLICANDO FORMULA GRUPO 3 - ENQUADRAMENTO]])</f>
        <v>1</v>
      </c>
    </row>
    <row r="32" spans="1:15">
      <c r="A32" s="252">
        <v>132</v>
      </c>
      <c r="B32" s="253" t="s">
        <v>491</v>
      </c>
      <c r="C32" s="254">
        <v>0.41022280471821754</v>
      </c>
      <c r="D32" s="255">
        <f t="shared" si="0"/>
        <v>41.022280471821752</v>
      </c>
      <c r="E32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Intermediário</v>
      </c>
      <c r="F32" s="257">
        <v>40.6993006993007</v>
      </c>
      <c r="G32" s="255">
        <f>Tabela74[[#This Row],[Meta 2024 (N)]]*0.65</f>
        <v>26.57161</v>
      </c>
      <c r="H32" s="255">
        <v>40.879399999999997</v>
      </c>
      <c r="I32" s="258" t="b">
        <f>IF(E32="Referência",
   IF(Tabela74[[#This Row],[TCC 2024 (N)]]&gt;=Tabela74[[#This Row],[TCC 2023(n)]],1,
      IF(Tabela74[[#This Row],[TCC 2024 (N)]]&gt;=C26,0.95,
         IF(AND(Tabela74[[#This Row],[TCC 2024 (N)]]&lt;Tabela74[[#This Row],[TCC 2024]], Tabela74[[#This Row],[TCC 2024 (N)]]&gt;E25),0.85,
            IF(AND(Tabela74[[#This Row],[TCC 2024 (N)]]&lt;E25, Tabela74[[#This Row],[TCC 2024 (N)]]&gt;=C25),0.8, FALSE)
         )
      )
   )
)</f>
        <v>0</v>
      </c>
      <c r="J32" s="258" t="b">
        <f>IF(E32="Excelência",
   IF(Tabela74[[#This Row],[TCC 2024 (N)]]&gt;=Tabela74[[#This Row],[TCC 2023(n)]],1,
      IF(Tabela74[[#This Row],[TCC 2024 (N)]]&gt;=C26,0.95,
         IF(AND(Tabela74[[#This Row],[TCC 2024 (N)]]&lt;Tabela74[[#This Row],[TCC 2024]], Tabela74[[#This Row],[TCC 2024 (N)]]&gt;E25),0.85,
            IF(AND(Tabela74[[#This Row],[TCC 2024 (N)]]&lt;E25, Tabela74[[#This Row],[TCC 2024 (N)]]&gt;=C25),0.8, FALSE)
         )
      )
   )
)</f>
        <v>0</v>
      </c>
      <c r="K32" s="258">
        <f>IF(E32="Intermediário", MAX(0, MIN(1, (Tabela74[[#This Row],[TCC 2024 (N)]]-Tabela74[[#This Row],[Linha de Base 2024 (N) ]])/(Tabela74[[#This Row],[Meta 2024 (N)]]-Tabela74[[#This Row],[Linha de Base 2024 (N) ]]))), "FALSO")</f>
        <v>1</v>
      </c>
      <c r="L32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32" s="259">
        <f>SUM(Tabela74[[#This Row],[ICM Atribuído - Grupo 1]:[ICM Atribuído - Grupo 4]])</f>
        <v>1</v>
      </c>
      <c r="N32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1</v>
      </c>
      <c r="O32" s="258">
        <f>IF(Tabela74[[#This Row],[APLICANDO FORMULA GRUPO 3 - ENQUADRAMENTO]]&lt;0,0,Tabela74[[#This Row],[APLICANDO FORMULA GRUPO 3 - ENQUADRAMENTO]])</f>
        <v>1</v>
      </c>
    </row>
    <row r="33" spans="1:15">
      <c r="A33" s="260">
        <v>133</v>
      </c>
      <c r="B33" s="261" t="s">
        <v>492</v>
      </c>
      <c r="C33" s="262">
        <v>0.26490066225165565</v>
      </c>
      <c r="D33" s="255">
        <f t="shared" si="0"/>
        <v>26.490066225165563</v>
      </c>
      <c r="E33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33" s="263">
        <v>37</v>
      </c>
      <c r="G33" s="255">
        <f>Tabela74[[#This Row],[Meta 2024 (N)]]*0.65</f>
        <v>24.385659999999998</v>
      </c>
      <c r="H33" s="264">
        <v>37.516399999999997</v>
      </c>
      <c r="I33" s="258" t="b">
        <f>IF(E33="Referência",
   IF(Tabela74[[#This Row],[TCC 2024 (N)]]&gt;=Tabela74[[#This Row],[TCC 2023(n)]],1,
      IF(Tabela74[[#This Row],[TCC 2024 (N)]]&gt;=C27,0.95,
         IF(AND(Tabela74[[#This Row],[TCC 2024 (N)]]&lt;Tabela74[[#This Row],[TCC 2024]], Tabela74[[#This Row],[TCC 2024 (N)]]&gt;E26),0.85,
            IF(AND(Tabela74[[#This Row],[TCC 2024 (N)]]&lt;E26, Tabela74[[#This Row],[TCC 2024 (N)]]&gt;=C26),0.8, FALSE)
         )
      )
   )
)</f>
        <v>0</v>
      </c>
      <c r="J33" s="258" t="b">
        <f>IF(E33="Excelência",
   IF(Tabela74[[#This Row],[TCC 2024 (N)]]&gt;=Tabela74[[#This Row],[TCC 2023(n)]],1,
      IF(Tabela74[[#This Row],[TCC 2024 (N)]]&gt;=C27,0.95,
         IF(AND(Tabela74[[#This Row],[TCC 2024 (N)]]&lt;Tabela74[[#This Row],[TCC 2024]], Tabela74[[#This Row],[TCC 2024 (N)]]&gt;E26),0.85,
            IF(AND(Tabela74[[#This Row],[TCC 2024 (N)]]&lt;E26, Tabela74[[#This Row],[TCC 2024 (N)]]&gt;=C26),0.8, FALSE)
         )
      )
   )
)</f>
        <v>0</v>
      </c>
      <c r="K33" s="258" t="str">
        <f>IF(E33="Intermediário", MAX(0, MIN(1, (Tabela74[[#This Row],[TCC 2024 (N)]]-Tabela74[[#This Row],[Linha de Base 2024 (N) ]])/(Tabela74[[#This Row],[Meta 2024 (N)]]-Tabela74[[#This Row],[Linha de Base 2024 (N) ]]))), "FALSO")</f>
        <v>FALSO</v>
      </c>
      <c r="L33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0.1602656228944877</v>
      </c>
      <c r="M33" s="259">
        <f>SUM(Tabela74[[#This Row],[ICM Atribuído - Grupo 1]:[ICM Atribuído - Grupo 4]])</f>
        <v>0.1602656228944877</v>
      </c>
      <c r="N33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0.1602656228944877</v>
      </c>
      <c r="O33" s="258">
        <f>IF(Tabela74[[#This Row],[APLICANDO FORMULA GRUPO 3 - ENQUADRAMENTO]]&lt;0,0,Tabela74[[#This Row],[APLICANDO FORMULA GRUPO 3 - ENQUADRAMENTO]])</f>
        <v>0.1602656228944877</v>
      </c>
    </row>
    <row r="34" spans="1:15">
      <c r="A34" s="252">
        <v>137</v>
      </c>
      <c r="B34" s="253" t="s">
        <v>493</v>
      </c>
      <c r="C34" s="254">
        <v>0.50174216027874563</v>
      </c>
      <c r="D34" s="255">
        <f t="shared" si="0"/>
        <v>50.174216027874564</v>
      </c>
      <c r="E34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Excelência</v>
      </c>
      <c r="F34" s="257">
        <v>61.250000000000007</v>
      </c>
      <c r="G34" s="255">
        <f>Tabela74[[#This Row],[Meta 2024 (N)]]*0.65</f>
        <v>40.235520000000001</v>
      </c>
      <c r="H34" s="255">
        <v>61.900799999999997</v>
      </c>
      <c r="I34" s="258" t="b">
        <f>IF(E34="Referência",
   IF(Tabela74[[#This Row],[TCC 2024 (N)]]&gt;=Tabela74[[#This Row],[TCC 2023(n)]],1,
      IF(Tabela74[[#This Row],[TCC 2024 (N)]]&gt;=C28,0.95,
         IF(AND(Tabela74[[#This Row],[TCC 2024 (N)]]&lt;Tabela74[[#This Row],[TCC 2024]], Tabela74[[#This Row],[TCC 2024 (N)]]&gt;E27),0.85,
            IF(AND(Tabela74[[#This Row],[TCC 2024 (N)]]&lt;E27, Tabela74[[#This Row],[TCC 2024 (N)]]&gt;=C27),0.8, FALSE)
         )
      )
   )
)</f>
        <v>0</v>
      </c>
      <c r="J34" s="258">
        <f>IF(E34="Excelência",
   IF(Tabela74[[#This Row],[TCC 2024 (N)]]&gt;=Tabela74[[#This Row],[TCC 2023(n)]],1,
      IF(Tabela74[[#This Row],[TCC 2024 (N)]]&gt;=C28,0.95,
         IF(AND(Tabela74[[#This Row],[TCC 2024 (N)]]&lt;Tabela74[[#This Row],[TCC 2024]], Tabela74[[#This Row],[TCC 2024 (N)]]&gt;E27),0.85,
            IF(AND(Tabela74[[#This Row],[TCC 2024 (N)]]&lt;E27, Tabela74[[#This Row],[TCC 2024 (N)]]&gt;=C27),0.8, FALSE)
         )
      )
   )
)</f>
        <v>0.95</v>
      </c>
      <c r="K34" s="258" t="str">
        <f>IF(E34="Intermediário", MAX(0, MIN(1, (Tabela74[[#This Row],[TCC 2024 (N)]]-Tabela74[[#This Row],[Linha de Base 2024 (N) ]])/(Tabela74[[#This Row],[Meta 2024 (N)]]-Tabela74[[#This Row],[Linha de Base 2024 (N) ]]))), "FALSO")</f>
        <v>FALSO</v>
      </c>
      <c r="L34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34" s="259">
        <f>SUM(Tabela74[[#This Row],[ICM Atribuído - Grupo 1]:[ICM Atribuído - Grupo 4]])</f>
        <v>0.95</v>
      </c>
      <c r="N34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0.95</v>
      </c>
      <c r="O34" s="258">
        <f>IF(Tabela74[[#This Row],[APLICANDO FORMULA GRUPO 3 - ENQUADRAMENTO]]&lt;0,0,Tabela74[[#This Row],[APLICANDO FORMULA GRUPO 3 - ENQUADRAMENTO]])</f>
        <v>0.95</v>
      </c>
    </row>
    <row r="35" spans="1:15">
      <c r="A35" s="260">
        <v>143</v>
      </c>
      <c r="B35" s="261" t="s">
        <v>494</v>
      </c>
      <c r="C35" s="262">
        <v>0.40492476060191518</v>
      </c>
      <c r="D35" s="255">
        <f t="shared" si="0"/>
        <v>40.492476060191521</v>
      </c>
      <c r="E35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Intermediário</v>
      </c>
      <c r="F35" s="263">
        <v>47.5</v>
      </c>
      <c r="G35" s="255">
        <f>Tabela74[[#This Row],[Meta 2024 (N)]]*0.65</f>
        <v>31.613660000000003</v>
      </c>
      <c r="H35" s="264">
        <v>48.636400000000002</v>
      </c>
      <c r="I35" s="258" t="b">
        <f>IF(E35="Referência",
   IF(Tabela74[[#This Row],[TCC 2024 (N)]]&gt;=Tabela74[[#This Row],[TCC 2023(n)]],1,
      IF(Tabela74[[#This Row],[TCC 2024 (N)]]&gt;=C29,0.95,
         IF(AND(Tabela74[[#This Row],[TCC 2024 (N)]]&lt;Tabela74[[#This Row],[TCC 2024]], Tabela74[[#This Row],[TCC 2024 (N)]]&gt;E28),0.85,
            IF(AND(Tabela74[[#This Row],[TCC 2024 (N)]]&lt;E28, Tabela74[[#This Row],[TCC 2024 (N)]]&gt;=C28),0.8, FALSE)
         )
      )
   )
)</f>
        <v>0</v>
      </c>
      <c r="J35" s="258" t="b">
        <f>IF(E35="Excelência",
   IF(Tabela74[[#This Row],[TCC 2024 (N)]]&gt;=Tabela74[[#This Row],[TCC 2023(n)]],1,
      IF(Tabela74[[#This Row],[TCC 2024 (N)]]&gt;=C29,0.95,
         IF(AND(Tabela74[[#This Row],[TCC 2024 (N)]]&lt;Tabela74[[#This Row],[TCC 2024]], Tabela74[[#This Row],[TCC 2024 (N)]]&gt;E28),0.85,
            IF(AND(Tabela74[[#This Row],[TCC 2024 (N)]]&lt;E28, Tabela74[[#This Row],[TCC 2024 (N)]]&gt;=C28),0.8, FALSE)
         )
      )
   )
)</f>
        <v>0</v>
      </c>
      <c r="K35" s="258">
        <f>IF(E35="Intermediário", MAX(0, MIN(1, (Tabela74[[#This Row],[TCC 2024 (N)]]-Tabela74[[#This Row],[Linha de Base 2024 (N) ]])/(Tabela74[[#This Row],[Meta 2024 (N)]]-Tabela74[[#This Row],[Linha de Base 2024 (N) ]]))), "FALSO")</f>
        <v>0.52158560021427325</v>
      </c>
      <c r="L35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35" s="259">
        <f>SUM(Tabela74[[#This Row],[ICM Atribuído - Grupo 1]:[ICM Atribuído - Grupo 4]])</f>
        <v>0.52158560021427325</v>
      </c>
      <c r="N35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0.75</v>
      </c>
      <c r="O35" s="258">
        <f>IF(Tabela74[[#This Row],[APLICANDO FORMULA GRUPO 3 - ENQUADRAMENTO]]&lt;0,0,Tabela74[[#This Row],[APLICANDO FORMULA GRUPO 3 - ENQUADRAMENTO]])</f>
        <v>0.75</v>
      </c>
    </row>
    <row r="36" spans="1:15">
      <c r="A36" s="252">
        <v>146</v>
      </c>
      <c r="B36" s="253" t="s">
        <v>495</v>
      </c>
      <c r="C36" s="254">
        <v>0.36729222520107241</v>
      </c>
      <c r="D36" s="255">
        <f t="shared" si="0"/>
        <v>36.729222520107243</v>
      </c>
      <c r="E36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36" s="257">
        <v>39.852941176470594</v>
      </c>
      <c r="G36" s="255">
        <f>Tabela74[[#This Row],[Meta 2024 (N)]]*0.65</f>
        <v>26.0715</v>
      </c>
      <c r="H36" s="255">
        <v>40.11</v>
      </c>
      <c r="I36" s="258" t="b">
        <f>IF(E36="Referência",
   IF(Tabela74[[#This Row],[TCC 2024 (N)]]&gt;=Tabela74[[#This Row],[TCC 2023(n)]],1,
      IF(Tabela74[[#This Row],[TCC 2024 (N)]]&gt;=C30,0.95,
         IF(AND(Tabela74[[#This Row],[TCC 2024 (N)]]&lt;Tabela74[[#This Row],[TCC 2024]], Tabela74[[#This Row],[TCC 2024 (N)]]&gt;E29),0.85,
            IF(AND(Tabela74[[#This Row],[TCC 2024 (N)]]&lt;E29, Tabela74[[#This Row],[TCC 2024 (N)]]&gt;=C29),0.8, FALSE)
         )
      )
   )
)</f>
        <v>0</v>
      </c>
      <c r="J36" s="258" t="b">
        <f>IF(E36="Excelência",
   IF(Tabela74[[#This Row],[TCC 2024 (N)]]&gt;=Tabela74[[#This Row],[TCC 2023(n)]],1,
      IF(Tabela74[[#This Row],[TCC 2024 (N)]]&gt;=C30,0.95,
         IF(AND(Tabela74[[#This Row],[TCC 2024 (N)]]&lt;Tabela74[[#This Row],[TCC 2024]], Tabela74[[#This Row],[TCC 2024 (N)]]&gt;E29),0.85,
            IF(AND(Tabela74[[#This Row],[TCC 2024 (N)]]&lt;E29, Tabela74[[#This Row],[TCC 2024 (N)]]&gt;=C29),0.8, FALSE)
         )
      )
   )
)</f>
        <v>0</v>
      </c>
      <c r="K36" s="258" t="str">
        <f>IF(E36="Intermediário", MAX(0, MIN(1, (Tabela74[[#This Row],[TCC 2024 (N)]]-Tabela74[[#This Row],[Linha de Base 2024 (N) ]])/(Tabela74[[#This Row],[Meta 2024 (N)]]-Tabela74[[#This Row],[Linha de Base 2024 (N) ]]))), "FALSO")</f>
        <v>FALSO</v>
      </c>
      <c r="L36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0.75917815436886016</v>
      </c>
      <c r="M36" s="259">
        <f>SUM(Tabela74[[#This Row],[ICM Atribuído - Grupo 1]:[ICM Atribuído - Grupo 4]])</f>
        <v>0.75917815436886016</v>
      </c>
      <c r="N36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0.75917815436886016</v>
      </c>
      <c r="O36" s="258">
        <f>IF(Tabela74[[#This Row],[APLICANDO FORMULA GRUPO 3 - ENQUADRAMENTO]]&lt;0,0,Tabela74[[#This Row],[APLICANDO FORMULA GRUPO 3 - ENQUADRAMENTO]])</f>
        <v>0.75917815436886016</v>
      </c>
    </row>
    <row r="37" spans="1:15">
      <c r="A37" s="260">
        <v>155</v>
      </c>
      <c r="B37" s="261" t="s">
        <v>496</v>
      </c>
      <c r="C37" s="262">
        <v>0.45336225596529284</v>
      </c>
      <c r="D37" s="255">
        <f t="shared" si="0"/>
        <v>45.336225596529282</v>
      </c>
      <c r="E37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Intermediário</v>
      </c>
      <c r="F37" s="263">
        <v>54</v>
      </c>
      <c r="G37" s="255">
        <f>Tabela74[[#This Row],[Meta 2024 (N)]]*0.65</f>
        <v>35.454574999999998</v>
      </c>
      <c r="H37" s="264">
        <v>54.545499999999997</v>
      </c>
      <c r="I37" s="258" t="b">
        <f>IF(E37="Referência",
   IF(Tabela74[[#This Row],[TCC 2024 (N)]]&gt;=Tabela74[[#This Row],[TCC 2023(n)]],1,
      IF(Tabela74[[#This Row],[TCC 2024 (N)]]&gt;=C31,0.95,
         IF(AND(Tabela74[[#This Row],[TCC 2024 (N)]]&lt;Tabela74[[#This Row],[TCC 2024]], Tabela74[[#This Row],[TCC 2024 (N)]]&gt;E30),0.85,
            IF(AND(Tabela74[[#This Row],[TCC 2024 (N)]]&lt;E30, Tabela74[[#This Row],[TCC 2024 (N)]]&gt;=C30),0.8, FALSE)
         )
      )
   )
)</f>
        <v>0</v>
      </c>
      <c r="J37" s="258" t="b">
        <f>IF(E37="Excelência",
   IF(Tabela74[[#This Row],[TCC 2024 (N)]]&gt;=Tabela74[[#This Row],[TCC 2023(n)]],1,
      IF(Tabela74[[#This Row],[TCC 2024 (N)]]&gt;=C31,0.95,
         IF(AND(Tabela74[[#This Row],[TCC 2024 (N)]]&lt;Tabela74[[#This Row],[TCC 2024]], Tabela74[[#This Row],[TCC 2024 (N)]]&gt;E30),0.85,
            IF(AND(Tabela74[[#This Row],[TCC 2024 (N)]]&lt;E30, Tabela74[[#This Row],[TCC 2024 (N)]]&gt;=C30),0.8, FALSE)
         )
      )
   )
)</f>
        <v>0</v>
      </c>
      <c r="K37" s="258">
        <f>IF(E37="Intermediário", MAX(0, MIN(1, (Tabela74[[#This Row],[TCC 2024 (N)]]-Tabela74[[#This Row],[Linha de Base 2024 (N) ]])/(Tabela74[[#This Row],[Meta 2024 (N)]]-Tabela74[[#This Row],[Linha de Base 2024 (N) ]]))), "FALSO")</f>
        <v>0.51760983800047844</v>
      </c>
      <c r="L37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37" s="259">
        <f>SUM(Tabela74[[#This Row],[ICM Atribuído - Grupo 1]:[ICM Atribuído - Grupo 4]])</f>
        <v>0.51760983800047844</v>
      </c>
      <c r="N37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0.75</v>
      </c>
      <c r="O37" s="258">
        <f>IF(Tabela74[[#This Row],[APLICANDO FORMULA GRUPO 3 - ENQUADRAMENTO]]&lt;0,0,Tabela74[[#This Row],[APLICANDO FORMULA GRUPO 3 - ENQUADRAMENTO]])</f>
        <v>0.75</v>
      </c>
    </row>
    <row r="38" spans="1:15">
      <c r="A38" s="252">
        <v>157</v>
      </c>
      <c r="B38" s="253" t="s">
        <v>497</v>
      </c>
      <c r="C38" s="254">
        <v>0.38139534883720932</v>
      </c>
      <c r="D38" s="255">
        <f t="shared" si="0"/>
        <v>38.139534883720934</v>
      </c>
      <c r="E38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38" s="257">
        <v>43.125</v>
      </c>
      <c r="G38" s="255">
        <f>Tabela74[[#This Row],[Meta 2024 (N)]]*0.65</f>
        <v>29.028415000000003</v>
      </c>
      <c r="H38" s="255">
        <v>44.659100000000002</v>
      </c>
      <c r="I38" s="258" t="b">
        <f>IF(E38="Referência",
   IF(Tabela74[[#This Row],[TCC 2024 (N)]]&gt;=Tabela74[[#This Row],[TCC 2023(n)]],1,
      IF(Tabela74[[#This Row],[TCC 2024 (N)]]&gt;=C32,0.95,
         IF(AND(Tabela74[[#This Row],[TCC 2024 (N)]]&lt;Tabela74[[#This Row],[TCC 2024]], Tabela74[[#This Row],[TCC 2024 (N)]]&gt;E31),0.85,
            IF(AND(Tabela74[[#This Row],[TCC 2024 (N)]]&lt;E31, Tabela74[[#This Row],[TCC 2024 (N)]]&gt;=C31),0.8, FALSE)
         )
      )
   )
)</f>
        <v>0</v>
      </c>
      <c r="J38" s="258" t="b">
        <f>IF(E38="Excelência",
   IF(Tabela74[[#This Row],[TCC 2024 (N)]]&gt;=Tabela74[[#This Row],[TCC 2023(n)]],1,
      IF(Tabela74[[#This Row],[TCC 2024 (N)]]&gt;=C32,0.95,
         IF(AND(Tabela74[[#This Row],[TCC 2024 (N)]]&lt;Tabela74[[#This Row],[TCC 2024]], Tabela74[[#This Row],[TCC 2024 (N)]]&gt;E31),0.85,
            IF(AND(Tabela74[[#This Row],[TCC 2024 (N)]]&lt;E31, Tabela74[[#This Row],[TCC 2024 (N)]]&gt;=C31),0.8, FALSE)
         )
      )
   )
)</f>
        <v>0</v>
      </c>
      <c r="K38" s="258" t="str">
        <f>IF(E38="Intermediário", MAX(0, MIN(1, (Tabela74[[#This Row],[TCC 2024 (N)]]-Tabela74[[#This Row],[Linha de Base 2024 (N) ]])/(Tabela74[[#This Row],[Meta 2024 (N)]]-Tabela74[[#This Row],[Linha de Base 2024 (N) ]]))), "FALSO")</f>
        <v>FALSO</v>
      </c>
      <c r="L38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0.582899590371179</v>
      </c>
      <c r="M38" s="259">
        <f>SUM(Tabela74[[#This Row],[ICM Atribuído - Grupo 1]:[ICM Atribuído - Grupo 4]])</f>
        <v>0.582899590371179</v>
      </c>
      <c r="N38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0.582899590371179</v>
      </c>
      <c r="O38" s="258">
        <f>IF(Tabela74[[#This Row],[APLICANDO FORMULA GRUPO 3 - ENQUADRAMENTO]]&lt;0,0,Tabela74[[#This Row],[APLICANDO FORMULA GRUPO 3 - ENQUADRAMENTO]])</f>
        <v>0.582899590371179</v>
      </c>
    </row>
    <row r="39" spans="1:15">
      <c r="A39" s="260">
        <v>160</v>
      </c>
      <c r="B39" s="261" t="s">
        <v>498</v>
      </c>
      <c r="C39" s="262">
        <v>0.29595015576323985</v>
      </c>
      <c r="D39" s="255">
        <f t="shared" si="0"/>
        <v>29.595015576323984</v>
      </c>
      <c r="E39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39" s="263">
        <v>28.125</v>
      </c>
      <c r="G39" s="255">
        <f>Tabela74[[#This Row],[Meta 2024 (N)]]*0.65</f>
        <v>19.14133</v>
      </c>
      <c r="H39" s="264">
        <v>29.4482</v>
      </c>
      <c r="I39" s="258" t="b">
        <f>IF(E39="Referência",
   IF(Tabela74[[#This Row],[TCC 2024 (N)]]&gt;=Tabela74[[#This Row],[TCC 2023(n)]],1,
      IF(Tabela74[[#This Row],[TCC 2024 (N)]]&gt;=C33,0.95,
         IF(AND(Tabela74[[#This Row],[TCC 2024 (N)]]&lt;Tabela74[[#This Row],[TCC 2024]], Tabela74[[#This Row],[TCC 2024 (N)]]&gt;E32),0.85,
            IF(AND(Tabela74[[#This Row],[TCC 2024 (N)]]&lt;E32, Tabela74[[#This Row],[TCC 2024 (N)]]&gt;=C32),0.8, FALSE)
         )
      )
   )
)</f>
        <v>0</v>
      </c>
      <c r="J39" s="258" t="b">
        <f>IF(E39="Excelência",
   IF(Tabela74[[#This Row],[TCC 2024 (N)]]&gt;=Tabela74[[#This Row],[TCC 2023(n)]],1,
      IF(Tabela74[[#This Row],[TCC 2024 (N)]]&gt;=C33,0.95,
         IF(AND(Tabela74[[#This Row],[TCC 2024 (N)]]&lt;Tabela74[[#This Row],[TCC 2024]], Tabela74[[#This Row],[TCC 2024 (N)]]&gt;E32),0.85,
            IF(AND(Tabela74[[#This Row],[TCC 2024 (N)]]&lt;E32, Tabela74[[#This Row],[TCC 2024 (N)]]&gt;=C32),0.8, FALSE)
         )
      )
   )
)</f>
        <v>0</v>
      </c>
      <c r="K39" s="258" t="str">
        <f>IF(E39="Intermediário", MAX(0, MIN(1, (Tabela74[[#This Row],[TCC 2024 (N)]]-Tabela74[[#This Row],[Linha de Base 2024 (N) ]])/(Tabela74[[#This Row],[Meta 2024 (N)]]-Tabela74[[#This Row],[Linha de Base 2024 (N) ]]))), "FALSO")</f>
        <v>FALSO</v>
      </c>
      <c r="L39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1</v>
      </c>
      <c r="M39" s="259">
        <f>SUM(Tabela74[[#This Row],[ICM Atribuído - Grupo 1]:[ICM Atribuído - Grupo 4]])</f>
        <v>1</v>
      </c>
      <c r="N39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1</v>
      </c>
      <c r="O39" s="258">
        <f>IF(Tabela74[[#This Row],[APLICANDO FORMULA GRUPO 3 - ENQUADRAMENTO]]&lt;0,0,Tabela74[[#This Row],[APLICANDO FORMULA GRUPO 3 - ENQUADRAMENTO]])</f>
        <v>1</v>
      </c>
    </row>
    <row r="40" spans="1:15">
      <c r="A40" s="252">
        <v>163</v>
      </c>
      <c r="B40" s="253" t="s">
        <v>499</v>
      </c>
      <c r="C40" s="254">
        <v>0.32034632034632032</v>
      </c>
      <c r="D40" s="255">
        <f t="shared" si="0"/>
        <v>32.034632034632033</v>
      </c>
      <c r="E40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40" s="257">
        <v>37.75</v>
      </c>
      <c r="G40" s="255">
        <f>Tabela74[[#This Row],[Meta 2024 (N)]]*0.65</f>
        <v>24.82883</v>
      </c>
      <c r="H40" s="255">
        <v>38.1982</v>
      </c>
      <c r="I40" s="258" t="b">
        <f>IF(E40="Referência",
   IF(Tabela74[[#This Row],[TCC 2024 (N)]]&gt;=Tabela74[[#This Row],[TCC 2023(n)]],1,
      IF(Tabela74[[#This Row],[TCC 2024 (N)]]&gt;=C34,0.95,
         IF(AND(Tabela74[[#This Row],[TCC 2024 (N)]]&lt;Tabela74[[#This Row],[TCC 2024]], Tabela74[[#This Row],[TCC 2024 (N)]]&gt;E33),0.85,
            IF(AND(Tabela74[[#This Row],[TCC 2024 (N)]]&lt;E33, Tabela74[[#This Row],[TCC 2024 (N)]]&gt;=C33),0.8, FALSE)
         )
      )
   )
)</f>
        <v>0</v>
      </c>
      <c r="J40" s="258" t="b">
        <f>IF(E40="Excelência",
   IF(Tabela74[[#This Row],[TCC 2024 (N)]]&gt;=Tabela74[[#This Row],[TCC 2023(n)]],1,
      IF(Tabela74[[#This Row],[TCC 2024 (N)]]&gt;=C34,0.95,
         IF(AND(Tabela74[[#This Row],[TCC 2024 (N)]]&lt;Tabela74[[#This Row],[TCC 2024]], Tabela74[[#This Row],[TCC 2024 (N)]]&gt;E33),0.85,
            IF(AND(Tabela74[[#This Row],[TCC 2024 (N)]]&lt;E33, Tabela74[[#This Row],[TCC 2024 (N)]]&gt;=C33),0.8, FALSE)
         )
      )
   )
)</f>
        <v>0</v>
      </c>
      <c r="K40" s="258" t="str">
        <f>IF(E40="Intermediário", MAX(0, MIN(1, (Tabela74[[#This Row],[TCC 2024 (N)]]-Tabela74[[#This Row],[Linha de Base 2024 (N) ]])/(Tabela74[[#This Row],[Meta 2024 (N)]]-Tabela74[[#This Row],[Linha de Base 2024 (N) ]]))), "FALSO")</f>
        <v>FALSO</v>
      </c>
      <c r="L40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0.5389784286493704</v>
      </c>
      <c r="M40" s="259">
        <f>SUM(Tabela74[[#This Row],[ICM Atribuído - Grupo 1]:[ICM Atribuído - Grupo 4]])</f>
        <v>0.5389784286493704</v>
      </c>
      <c r="N40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0.5389784286493704</v>
      </c>
      <c r="O40" s="258">
        <f>IF(Tabela74[[#This Row],[APLICANDO FORMULA GRUPO 3 - ENQUADRAMENTO]]&lt;0,0,Tabela74[[#This Row],[APLICANDO FORMULA GRUPO 3 - ENQUADRAMENTO]])</f>
        <v>0.5389784286493704</v>
      </c>
    </row>
    <row r="41" spans="1:15">
      <c r="A41" s="260">
        <v>167</v>
      </c>
      <c r="B41" s="261" t="s">
        <v>500</v>
      </c>
      <c r="C41" s="262">
        <v>0.44237918215613381</v>
      </c>
      <c r="D41" s="255">
        <f t="shared" si="0"/>
        <v>44.237918215613384</v>
      </c>
      <c r="E41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Intermediário</v>
      </c>
      <c r="F41" s="263">
        <v>50.208333333333336</v>
      </c>
      <c r="G41" s="255">
        <f>Tabela74[[#This Row],[Meta 2024 (N)]]*0.65</f>
        <v>33.214024999999999</v>
      </c>
      <c r="H41" s="264">
        <v>51.098500000000001</v>
      </c>
      <c r="I41" s="258" t="b">
        <f>IF(E41="Referência",
   IF(Tabela74[[#This Row],[TCC 2024 (N)]]&gt;=Tabela74[[#This Row],[TCC 2023(n)]],1,
      IF(Tabela74[[#This Row],[TCC 2024 (N)]]&gt;=C35,0.95,
         IF(AND(Tabela74[[#This Row],[TCC 2024 (N)]]&lt;Tabela74[[#This Row],[TCC 2024]], Tabela74[[#This Row],[TCC 2024 (N)]]&gt;E34),0.85,
            IF(AND(Tabela74[[#This Row],[TCC 2024 (N)]]&lt;E34, Tabela74[[#This Row],[TCC 2024 (N)]]&gt;=C34),0.8, FALSE)
         )
      )
   )
)</f>
        <v>0</v>
      </c>
      <c r="J41" s="258" t="b">
        <f>IF(E41="Excelência",
   IF(Tabela74[[#This Row],[TCC 2024 (N)]]&gt;=Tabela74[[#This Row],[TCC 2023(n)]],1,
      IF(Tabela74[[#This Row],[TCC 2024 (N)]]&gt;=C35,0.95,
         IF(AND(Tabela74[[#This Row],[TCC 2024 (N)]]&lt;Tabela74[[#This Row],[TCC 2024]], Tabela74[[#This Row],[TCC 2024 (N)]]&gt;E34),0.85,
            IF(AND(Tabela74[[#This Row],[TCC 2024 (N)]]&lt;E34, Tabela74[[#This Row],[TCC 2024 (N)]]&gt;=C34),0.8, FALSE)
         )
      )
   )
)</f>
        <v>0</v>
      </c>
      <c r="K41" s="258">
        <f>IF(E41="Intermediário", MAX(0, MIN(1, (Tabela74[[#This Row],[TCC 2024 (N)]]-Tabela74[[#This Row],[Linha de Base 2024 (N) ]])/(Tabela74[[#This Row],[Meta 2024 (N)]]-Tabela74[[#This Row],[Linha de Base 2024 (N) ]]))), "FALSO")</f>
        <v>0.61639456655078684</v>
      </c>
      <c r="L41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41" s="259">
        <f>SUM(Tabela74[[#This Row],[ICM Atribuído - Grupo 1]:[ICM Atribuído - Grupo 4]])</f>
        <v>0.61639456655078684</v>
      </c>
      <c r="N41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0.75</v>
      </c>
      <c r="O41" s="258">
        <f>IF(Tabela74[[#This Row],[APLICANDO FORMULA GRUPO 3 - ENQUADRAMENTO]]&lt;0,0,Tabela74[[#This Row],[APLICANDO FORMULA GRUPO 3 - ENQUADRAMENTO]])</f>
        <v>0.75</v>
      </c>
    </row>
    <row r="42" spans="1:15">
      <c r="A42" s="252">
        <v>168</v>
      </c>
      <c r="B42" s="253" t="s">
        <v>501</v>
      </c>
      <c r="C42" s="254">
        <v>0.5701598579040853</v>
      </c>
      <c r="D42" s="255">
        <f t="shared" ref="D42:D73" si="1">C42*100</f>
        <v>57.015985790408529</v>
      </c>
      <c r="E42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Excelência</v>
      </c>
      <c r="F42" s="257">
        <v>57.001972386587774</v>
      </c>
      <c r="G42" s="255">
        <f>Tabela74[[#This Row],[Meta 2024 (N)]]*0.65</f>
        <v>37.228425000000001</v>
      </c>
      <c r="H42" s="255">
        <v>57.274500000000003</v>
      </c>
      <c r="I42" s="258" t="b">
        <f>IF(E42="Referência",
   IF(Tabela74[[#This Row],[TCC 2024 (N)]]&gt;=Tabela74[[#This Row],[TCC 2023(n)]],1,
      IF(Tabela74[[#This Row],[TCC 2024 (N)]]&gt;=C36,0.95,
         IF(AND(Tabela74[[#This Row],[TCC 2024 (N)]]&lt;Tabela74[[#This Row],[TCC 2024]], Tabela74[[#This Row],[TCC 2024 (N)]]&gt;E35),0.85,
            IF(AND(Tabela74[[#This Row],[TCC 2024 (N)]]&lt;E35, Tabela74[[#This Row],[TCC 2024 (N)]]&gt;=C35),0.8, FALSE)
         )
      )
   )
)</f>
        <v>0</v>
      </c>
      <c r="J42" s="258">
        <f>IF(E42="Excelência",
   IF(Tabela74[[#This Row],[TCC 2024 (N)]]&gt;=Tabela74[[#This Row],[TCC 2023(n)]],1,
      IF(Tabela74[[#This Row],[TCC 2024 (N)]]&gt;=C36,0.95,
         IF(AND(Tabela74[[#This Row],[TCC 2024 (N)]]&lt;Tabela74[[#This Row],[TCC 2024]], Tabela74[[#This Row],[TCC 2024 (N)]]&gt;E35),0.85,
            IF(AND(Tabela74[[#This Row],[TCC 2024 (N)]]&lt;E35, Tabela74[[#This Row],[TCC 2024 (N)]]&gt;=C35),0.8, FALSE)
         )
      )
   )
)</f>
        <v>1</v>
      </c>
      <c r="K42" s="258" t="str">
        <f>IF(E42="Intermediário", MAX(0, MIN(1, (Tabela74[[#This Row],[TCC 2024 (N)]]-Tabela74[[#This Row],[Linha de Base 2024 (N) ]])/(Tabela74[[#This Row],[Meta 2024 (N)]]-Tabela74[[#This Row],[Linha de Base 2024 (N) ]]))), "FALSO")</f>
        <v>FALSO</v>
      </c>
      <c r="L42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42" s="259">
        <f>SUM(Tabela74[[#This Row],[ICM Atribuído - Grupo 1]:[ICM Atribuído - Grupo 4]])</f>
        <v>1</v>
      </c>
      <c r="N42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1</v>
      </c>
      <c r="O42" s="258">
        <f>IF(Tabela74[[#This Row],[APLICANDO FORMULA GRUPO 3 - ENQUADRAMENTO]]&lt;0,0,Tabela74[[#This Row],[APLICANDO FORMULA GRUPO 3 - ENQUADRAMENTO]])</f>
        <v>1</v>
      </c>
    </row>
    <row r="43" spans="1:15">
      <c r="A43" s="260">
        <v>171</v>
      </c>
      <c r="B43" s="261" t="s">
        <v>502</v>
      </c>
      <c r="C43" s="262">
        <v>0.38557213930348261</v>
      </c>
      <c r="D43" s="255">
        <f t="shared" si="1"/>
        <v>38.557213930348261</v>
      </c>
      <c r="E43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43" s="263">
        <v>48.125</v>
      </c>
      <c r="G43" s="255">
        <f>Tabela74[[#This Row],[Meta 2024 (N)]]*0.65</f>
        <v>31.982925000000002</v>
      </c>
      <c r="H43" s="264">
        <v>49.204500000000003</v>
      </c>
      <c r="I43" s="258" t="b">
        <f>IF(E43="Referência",
   IF(Tabela74[[#This Row],[TCC 2024 (N)]]&gt;=Tabela74[[#This Row],[TCC 2023(n)]],1,
      IF(Tabela74[[#This Row],[TCC 2024 (N)]]&gt;=C37,0.95,
         IF(AND(Tabela74[[#This Row],[TCC 2024 (N)]]&lt;Tabela74[[#This Row],[TCC 2024]], Tabela74[[#This Row],[TCC 2024 (N)]]&gt;E36),0.85,
            IF(AND(Tabela74[[#This Row],[TCC 2024 (N)]]&lt;E36, Tabela74[[#This Row],[TCC 2024 (N)]]&gt;=C36),0.8, FALSE)
         )
      )
   )
)</f>
        <v>0</v>
      </c>
      <c r="J43" s="258" t="b">
        <f>IF(E43="Excelência",
   IF(Tabela74[[#This Row],[TCC 2024 (N)]]&gt;=Tabela74[[#This Row],[TCC 2023(n)]],1,
      IF(Tabela74[[#This Row],[TCC 2024 (N)]]&gt;=C37,0.95,
         IF(AND(Tabela74[[#This Row],[TCC 2024 (N)]]&lt;Tabela74[[#This Row],[TCC 2024]], Tabela74[[#This Row],[TCC 2024 (N)]]&gt;E36),0.85,
            IF(AND(Tabela74[[#This Row],[TCC 2024 (N)]]&lt;E36, Tabela74[[#This Row],[TCC 2024 (N)]]&gt;=C36),0.8, FALSE)
         )
      )
   )
)</f>
        <v>0</v>
      </c>
      <c r="K43" s="258" t="str">
        <f>IF(E43="Intermediário", MAX(0, MIN(1, (Tabela74[[#This Row],[TCC 2024 (N)]]-Tabela74[[#This Row],[Linha de Base 2024 (N) ]])/(Tabela74[[#This Row],[Meta 2024 (N)]]-Tabela74[[#This Row],[Linha de Base 2024 (N) ]]))), "FALSO")</f>
        <v>FALSO</v>
      </c>
      <c r="L43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0.38174725194114123</v>
      </c>
      <c r="M43" s="259">
        <f>SUM(Tabela74[[#This Row],[ICM Atribuído - Grupo 1]:[ICM Atribuído - Grupo 4]])</f>
        <v>0.38174725194114123</v>
      </c>
      <c r="N43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0.38174725194114123</v>
      </c>
      <c r="O43" s="258">
        <f>IF(Tabela74[[#This Row],[APLICANDO FORMULA GRUPO 3 - ENQUADRAMENTO]]&lt;0,0,Tabela74[[#This Row],[APLICANDO FORMULA GRUPO 3 - ENQUADRAMENTO]])</f>
        <v>0.38174725194114123</v>
      </c>
    </row>
    <row r="44" spans="1:15">
      <c r="A44" s="252">
        <v>173</v>
      </c>
      <c r="B44" s="253" t="s">
        <v>503</v>
      </c>
      <c r="C44" s="254">
        <v>0.29473684210526313</v>
      </c>
      <c r="D44" s="255">
        <f t="shared" si="1"/>
        <v>29.473684210526311</v>
      </c>
      <c r="E44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44" s="257">
        <v>42.1875</v>
      </c>
      <c r="G44" s="255">
        <f>Tabela74[[#This Row],[Meta 2024 (N)]]*0.65</f>
        <v>27.450995000000002</v>
      </c>
      <c r="H44" s="255">
        <v>42.232300000000002</v>
      </c>
      <c r="I44" s="258" t="b">
        <f>IF(E44="Referência",
   IF(Tabela74[[#This Row],[TCC 2024 (N)]]&gt;=Tabela74[[#This Row],[TCC 2023(n)]],1,
      IF(Tabela74[[#This Row],[TCC 2024 (N)]]&gt;=C38,0.95,
         IF(AND(Tabela74[[#This Row],[TCC 2024 (N)]]&lt;Tabela74[[#This Row],[TCC 2024]], Tabela74[[#This Row],[TCC 2024 (N)]]&gt;E37),0.85,
            IF(AND(Tabela74[[#This Row],[TCC 2024 (N)]]&lt;E37, Tabela74[[#This Row],[TCC 2024 (N)]]&gt;=C37),0.8, FALSE)
         )
      )
   )
)</f>
        <v>0</v>
      </c>
      <c r="J44" s="258" t="b">
        <f>IF(E44="Excelência",
   IF(Tabela74[[#This Row],[TCC 2024 (N)]]&gt;=Tabela74[[#This Row],[TCC 2023(n)]],1,
      IF(Tabela74[[#This Row],[TCC 2024 (N)]]&gt;=C38,0.95,
         IF(AND(Tabela74[[#This Row],[TCC 2024 (N)]]&lt;Tabela74[[#This Row],[TCC 2024]], Tabela74[[#This Row],[TCC 2024 (N)]]&gt;E37),0.85,
            IF(AND(Tabela74[[#This Row],[TCC 2024 (N)]]&lt;E37, Tabela74[[#This Row],[TCC 2024 (N)]]&gt;=C37),0.8, FALSE)
         )
      )
   )
)</f>
        <v>0</v>
      </c>
      <c r="K44" s="258" t="str">
        <f>IF(E44="Intermediário", MAX(0, MIN(1, (Tabela74[[#This Row],[TCC 2024 (N)]]-Tabela74[[#This Row],[Linha de Base 2024 (N) ]])/(Tabela74[[#This Row],[Meta 2024 (N)]]-Tabela74[[#This Row],[Linha de Base 2024 (N) ]]))), "FALSO")</f>
        <v>FALSO</v>
      </c>
      <c r="L44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0.13684104417886708</v>
      </c>
      <c r="M44" s="259">
        <f>SUM(Tabela74[[#This Row],[ICM Atribuído - Grupo 1]:[ICM Atribuído - Grupo 4]])</f>
        <v>0.13684104417886708</v>
      </c>
      <c r="N44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0.13684104417886708</v>
      </c>
      <c r="O44" s="258">
        <f>IF(Tabela74[[#This Row],[APLICANDO FORMULA GRUPO 3 - ENQUADRAMENTO]]&lt;0,0,Tabela74[[#This Row],[APLICANDO FORMULA GRUPO 3 - ENQUADRAMENTO]])</f>
        <v>0.13684104417886708</v>
      </c>
    </row>
    <row r="45" spans="1:15">
      <c r="A45" s="260">
        <v>174</v>
      </c>
      <c r="B45" s="261" t="s">
        <v>504</v>
      </c>
      <c r="C45" s="262">
        <v>0.29499999999999998</v>
      </c>
      <c r="D45" s="255">
        <f t="shared" si="1"/>
        <v>29.5</v>
      </c>
      <c r="E45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45" s="263">
        <v>25</v>
      </c>
      <c r="G45" s="255">
        <f>Tabela74[[#This Row],[Meta 2024 (N)]]*0.65</f>
        <v>17.294744999999999</v>
      </c>
      <c r="H45" s="264">
        <v>26.607299999999999</v>
      </c>
      <c r="I45" s="258" t="b">
        <f>IF(E45="Referência",
   IF(Tabela74[[#This Row],[TCC 2024 (N)]]&gt;=Tabela74[[#This Row],[TCC 2023(n)]],1,
      IF(Tabela74[[#This Row],[TCC 2024 (N)]]&gt;=C39,0.95,
         IF(AND(Tabela74[[#This Row],[TCC 2024 (N)]]&lt;Tabela74[[#This Row],[TCC 2024]], Tabela74[[#This Row],[TCC 2024 (N)]]&gt;E38),0.85,
            IF(AND(Tabela74[[#This Row],[TCC 2024 (N)]]&lt;E38, Tabela74[[#This Row],[TCC 2024 (N)]]&gt;=C38),0.8, FALSE)
         )
      )
   )
)</f>
        <v>0</v>
      </c>
      <c r="J45" s="258" t="b">
        <f>IF(E45="Excelência",
   IF(Tabela74[[#This Row],[TCC 2024 (N)]]&gt;=Tabela74[[#This Row],[TCC 2023(n)]],1,
      IF(Tabela74[[#This Row],[TCC 2024 (N)]]&gt;=C39,0.95,
         IF(AND(Tabela74[[#This Row],[TCC 2024 (N)]]&lt;Tabela74[[#This Row],[TCC 2024]], Tabela74[[#This Row],[TCC 2024 (N)]]&gt;E38),0.85,
            IF(AND(Tabela74[[#This Row],[TCC 2024 (N)]]&lt;E38, Tabela74[[#This Row],[TCC 2024 (N)]]&gt;=C38),0.8, FALSE)
         )
      )
   )
)</f>
        <v>0</v>
      </c>
      <c r="K45" s="258" t="str">
        <f>IF(E45="Intermediário", MAX(0, MIN(1, (Tabela74[[#This Row],[TCC 2024 (N)]]-Tabela74[[#This Row],[Linha de Base 2024 (N) ]])/(Tabela74[[#This Row],[Meta 2024 (N)]]-Tabela74[[#This Row],[Linha de Base 2024 (N) ]]))), "FALSO")</f>
        <v>FALSO</v>
      </c>
      <c r="L45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1</v>
      </c>
      <c r="M45" s="259">
        <f>SUM(Tabela74[[#This Row],[ICM Atribuído - Grupo 1]:[ICM Atribuído - Grupo 4]])</f>
        <v>1</v>
      </c>
      <c r="N45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1</v>
      </c>
      <c r="O45" s="258">
        <f>IF(Tabela74[[#This Row],[APLICANDO FORMULA GRUPO 3 - ENQUADRAMENTO]]&lt;0,0,Tabela74[[#This Row],[APLICANDO FORMULA GRUPO 3 - ENQUADRAMENTO]])</f>
        <v>1</v>
      </c>
    </row>
    <row r="46" spans="1:15">
      <c r="A46" s="252">
        <v>175</v>
      </c>
      <c r="B46" s="253" t="s">
        <v>505</v>
      </c>
      <c r="C46" s="254">
        <v>0.36176470588235293</v>
      </c>
      <c r="D46" s="255">
        <f t="shared" si="1"/>
        <v>36.17647058823529</v>
      </c>
      <c r="E46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46" s="257">
        <v>44.0625</v>
      </c>
      <c r="G46" s="255">
        <f>Tabela74[[#This Row],[Meta 2024 (N)]]*0.65</f>
        <v>29.582410000000003</v>
      </c>
      <c r="H46" s="255">
        <v>45.511400000000002</v>
      </c>
      <c r="I46" s="258" t="b">
        <f>IF(E46="Referência",
   IF(Tabela74[[#This Row],[TCC 2024 (N)]]&gt;=Tabela74[[#This Row],[TCC 2023(n)]],1,
      IF(Tabela74[[#This Row],[TCC 2024 (N)]]&gt;=C40,0.95,
         IF(AND(Tabela74[[#This Row],[TCC 2024 (N)]]&lt;Tabela74[[#This Row],[TCC 2024]], Tabela74[[#This Row],[TCC 2024 (N)]]&gt;E39),0.85,
            IF(AND(Tabela74[[#This Row],[TCC 2024 (N)]]&lt;E39, Tabela74[[#This Row],[TCC 2024 (N)]]&gt;=C39),0.8, FALSE)
         )
      )
   )
)</f>
        <v>0</v>
      </c>
      <c r="J46" s="258" t="b">
        <f>IF(E46="Excelência",
   IF(Tabela74[[#This Row],[TCC 2024 (N)]]&gt;=Tabela74[[#This Row],[TCC 2023(n)]],1,
      IF(Tabela74[[#This Row],[TCC 2024 (N)]]&gt;=C40,0.95,
         IF(AND(Tabela74[[#This Row],[TCC 2024 (N)]]&lt;Tabela74[[#This Row],[TCC 2024]], Tabela74[[#This Row],[TCC 2024 (N)]]&gt;E39),0.85,
            IF(AND(Tabela74[[#This Row],[TCC 2024 (N)]]&lt;E39, Tabela74[[#This Row],[TCC 2024 (N)]]&gt;=C39),0.8, FALSE)
         )
      )
   )
)</f>
        <v>0</v>
      </c>
      <c r="K46" s="258" t="str">
        <f>IF(E46="Intermediário", MAX(0, MIN(1, (Tabela74[[#This Row],[TCC 2024 (N)]]-Tabela74[[#This Row],[Linha de Base 2024 (N) ]])/(Tabela74[[#This Row],[Meta 2024 (N)]]-Tabela74[[#This Row],[Linha de Base 2024 (N) ]]))), "FALSO")</f>
        <v>FALSO</v>
      </c>
      <c r="L46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0.41396601970591279</v>
      </c>
      <c r="M46" s="259">
        <f>SUM(Tabela74[[#This Row],[ICM Atribuído - Grupo 1]:[ICM Atribuído - Grupo 4]])</f>
        <v>0.41396601970591279</v>
      </c>
      <c r="N46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0.41396601970591279</v>
      </c>
      <c r="O46" s="258">
        <f>IF(Tabela74[[#This Row],[APLICANDO FORMULA GRUPO 3 - ENQUADRAMENTO]]&lt;0,0,Tabela74[[#This Row],[APLICANDO FORMULA GRUPO 3 - ENQUADRAMENTO]])</f>
        <v>0.41396601970591279</v>
      </c>
    </row>
    <row r="47" spans="1:15">
      <c r="A47" s="260">
        <v>176</v>
      </c>
      <c r="B47" s="261" t="s">
        <v>506</v>
      </c>
      <c r="C47" s="262">
        <v>0.29345794392523367</v>
      </c>
      <c r="D47" s="255">
        <f t="shared" si="1"/>
        <v>29.345794392523366</v>
      </c>
      <c r="E47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47" s="263">
        <v>36.97674418604651</v>
      </c>
      <c r="G47" s="255">
        <f>Tabela74[[#This Row],[Meta 2024 (N)]]*0.65</f>
        <v>24.371945</v>
      </c>
      <c r="H47" s="264">
        <v>37.4953</v>
      </c>
      <c r="I47" s="258" t="b">
        <f>IF(E47="Referência",
   IF(Tabela74[[#This Row],[TCC 2024 (N)]]&gt;=Tabela74[[#This Row],[TCC 2023(n)]],1,
      IF(Tabela74[[#This Row],[TCC 2024 (N)]]&gt;=C41,0.95,
         IF(AND(Tabela74[[#This Row],[TCC 2024 (N)]]&lt;Tabela74[[#This Row],[TCC 2024]], Tabela74[[#This Row],[TCC 2024 (N)]]&gt;E40),0.85,
            IF(AND(Tabela74[[#This Row],[TCC 2024 (N)]]&lt;E40, Tabela74[[#This Row],[TCC 2024 (N)]]&gt;=C40),0.8, FALSE)
         )
      )
   )
)</f>
        <v>0</v>
      </c>
      <c r="J47" s="258" t="b">
        <f>IF(E47="Excelência",
   IF(Tabela74[[#This Row],[TCC 2024 (N)]]&gt;=Tabela74[[#This Row],[TCC 2023(n)]],1,
      IF(Tabela74[[#This Row],[TCC 2024 (N)]]&gt;=C41,0.95,
         IF(AND(Tabela74[[#This Row],[TCC 2024 (N)]]&lt;Tabela74[[#This Row],[TCC 2024]], Tabela74[[#This Row],[TCC 2024 (N)]]&gt;E40),0.85,
            IF(AND(Tabela74[[#This Row],[TCC 2024 (N)]]&lt;E40, Tabela74[[#This Row],[TCC 2024 (N)]]&gt;=C40),0.8, FALSE)
         )
      )
   )
)</f>
        <v>0</v>
      </c>
      <c r="K47" s="258" t="str">
        <f>IF(E47="Intermediário", MAX(0, MIN(1, (Tabela74[[#This Row],[TCC 2024 (N)]]-Tabela74[[#This Row],[Linha de Base 2024 (N) ]])/(Tabela74[[#This Row],[Meta 2024 (N)]]-Tabela74[[#This Row],[Linha de Base 2024 (N) ]]))), "FALSO")</f>
        <v>FALSO</v>
      </c>
      <c r="L47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0.37900745598388264</v>
      </c>
      <c r="M47" s="259">
        <f>SUM(Tabela74[[#This Row],[ICM Atribuído - Grupo 1]:[ICM Atribuído - Grupo 4]])</f>
        <v>0.37900745598388264</v>
      </c>
      <c r="N47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0.37900745598388264</v>
      </c>
      <c r="O47" s="258">
        <f>IF(Tabela74[[#This Row],[APLICANDO FORMULA GRUPO 3 - ENQUADRAMENTO]]&lt;0,0,Tabela74[[#This Row],[APLICANDO FORMULA GRUPO 3 - ENQUADRAMENTO]])</f>
        <v>0.37900745598388264</v>
      </c>
    </row>
    <row r="48" spans="1:15">
      <c r="A48" s="252">
        <v>177</v>
      </c>
      <c r="B48" s="253" t="s">
        <v>507</v>
      </c>
      <c r="C48" s="254">
        <v>0.32126696832579188</v>
      </c>
      <c r="D48" s="255">
        <f t="shared" si="1"/>
        <v>32.126696832579185</v>
      </c>
      <c r="E48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48" s="257">
        <v>36.25</v>
      </c>
      <c r="G48" s="255">
        <f>Tabela74[[#This Row],[Meta 2024 (N)]]*0.65</f>
        <v>23.942490000000003</v>
      </c>
      <c r="H48" s="255">
        <v>36.834600000000002</v>
      </c>
      <c r="I48" s="258" t="b">
        <f>IF(E48="Referência",
   IF(Tabela74[[#This Row],[TCC 2024 (N)]]&gt;=Tabela74[[#This Row],[TCC 2023(n)]],1,
      IF(Tabela74[[#This Row],[TCC 2024 (N)]]&gt;=C42,0.95,
         IF(AND(Tabela74[[#This Row],[TCC 2024 (N)]]&lt;Tabela74[[#This Row],[TCC 2024]], Tabela74[[#This Row],[TCC 2024 (N)]]&gt;E41),0.85,
            IF(AND(Tabela74[[#This Row],[TCC 2024 (N)]]&lt;E41, Tabela74[[#This Row],[TCC 2024 (N)]]&gt;=C41),0.8, FALSE)
         )
      )
   )
)</f>
        <v>0</v>
      </c>
      <c r="J48" s="258" t="b">
        <f>IF(E48="Excelência",
   IF(Tabela74[[#This Row],[TCC 2024 (N)]]&gt;=Tabela74[[#This Row],[TCC 2023(n)]],1,
      IF(Tabela74[[#This Row],[TCC 2024 (N)]]&gt;=C42,0.95,
         IF(AND(Tabela74[[#This Row],[TCC 2024 (N)]]&lt;Tabela74[[#This Row],[TCC 2024]], Tabela74[[#This Row],[TCC 2024 (N)]]&gt;E41),0.85,
            IF(AND(Tabela74[[#This Row],[TCC 2024 (N)]]&lt;E41, Tabela74[[#This Row],[TCC 2024 (N)]]&gt;=C41),0.8, FALSE)
         )
      )
   )
)</f>
        <v>0</v>
      </c>
      <c r="K48" s="258" t="str">
        <f>IF(E48="Intermediário", MAX(0, MIN(1, (Tabela74[[#This Row],[TCC 2024 (N)]]-Tabela74[[#This Row],[Linha de Base 2024 (N) ]])/(Tabela74[[#This Row],[Meta 2024 (N)]]-Tabela74[[#This Row],[Linha de Base 2024 (N) ]]))), "FALSO")</f>
        <v>FALSO</v>
      </c>
      <c r="L48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0.63482291359437537</v>
      </c>
      <c r="M48" s="259">
        <f>SUM(Tabela74[[#This Row],[ICM Atribuído - Grupo 1]:[ICM Atribuído - Grupo 4]])</f>
        <v>0.63482291359437537</v>
      </c>
      <c r="N48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0.63482291359437537</v>
      </c>
      <c r="O48" s="258">
        <f>IF(Tabela74[[#This Row],[APLICANDO FORMULA GRUPO 3 - ENQUADRAMENTO]]&lt;0,0,Tabela74[[#This Row],[APLICANDO FORMULA GRUPO 3 - ENQUADRAMENTO]])</f>
        <v>0.63482291359437537</v>
      </c>
    </row>
    <row r="49" spans="1:15">
      <c r="A49" s="260">
        <v>178</v>
      </c>
      <c r="B49" s="261" t="s">
        <v>508</v>
      </c>
      <c r="C49" s="262">
        <v>0.39004149377593361</v>
      </c>
      <c r="D49" s="255">
        <f t="shared" si="1"/>
        <v>39.004149377593365</v>
      </c>
      <c r="E49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Intermediário</v>
      </c>
      <c r="F49" s="263">
        <v>33</v>
      </c>
      <c r="G49" s="255">
        <f>Tabela74[[#This Row],[Meta 2024 (N)]]*0.65</f>
        <v>22.022000000000002</v>
      </c>
      <c r="H49" s="264">
        <v>33.880000000000003</v>
      </c>
      <c r="I49" s="258" t="b">
        <f>IF(E49="Referência",
   IF(Tabela74[[#This Row],[TCC 2024 (N)]]&gt;=Tabela74[[#This Row],[TCC 2023(n)]],1,
      IF(Tabela74[[#This Row],[TCC 2024 (N)]]&gt;=C43,0.95,
         IF(AND(Tabela74[[#This Row],[TCC 2024 (N)]]&lt;Tabela74[[#This Row],[TCC 2024]], Tabela74[[#This Row],[TCC 2024 (N)]]&gt;E42),0.85,
            IF(AND(Tabela74[[#This Row],[TCC 2024 (N)]]&lt;E42, Tabela74[[#This Row],[TCC 2024 (N)]]&gt;=C42),0.8, FALSE)
         )
      )
   )
)</f>
        <v>0</v>
      </c>
      <c r="J49" s="258" t="b">
        <f>IF(E49="Excelência",
   IF(Tabela74[[#This Row],[TCC 2024 (N)]]&gt;=Tabela74[[#This Row],[TCC 2023(n)]],1,
      IF(Tabela74[[#This Row],[TCC 2024 (N)]]&gt;=C43,0.95,
         IF(AND(Tabela74[[#This Row],[TCC 2024 (N)]]&lt;Tabela74[[#This Row],[TCC 2024]], Tabela74[[#This Row],[TCC 2024 (N)]]&gt;E42),0.85,
            IF(AND(Tabela74[[#This Row],[TCC 2024 (N)]]&lt;E42, Tabela74[[#This Row],[TCC 2024 (N)]]&gt;=C42),0.8, FALSE)
         )
      )
   )
)</f>
        <v>0</v>
      </c>
      <c r="K49" s="258">
        <f>IF(E49="Intermediário", MAX(0, MIN(1, (Tabela74[[#This Row],[TCC 2024 (N)]]-Tabela74[[#This Row],[Linha de Base 2024 (N) ]])/(Tabela74[[#This Row],[Meta 2024 (N)]]-Tabela74[[#This Row],[Linha de Base 2024 (N) ]]))), "FALSO")</f>
        <v>1</v>
      </c>
      <c r="L49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49" s="259">
        <f>SUM(Tabela74[[#This Row],[ICM Atribuído - Grupo 1]:[ICM Atribuído - Grupo 4]])</f>
        <v>1</v>
      </c>
      <c r="N49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1</v>
      </c>
      <c r="O49" s="258">
        <f>IF(Tabela74[[#This Row],[APLICANDO FORMULA GRUPO 3 - ENQUADRAMENTO]]&lt;0,0,Tabela74[[#This Row],[APLICANDO FORMULA GRUPO 3 - ENQUADRAMENTO]])</f>
        <v>1</v>
      </c>
    </row>
    <row r="50" spans="1:15">
      <c r="A50" s="252">
        <v>182</v>
      </c>
      <c r="B50" s="253" t="s">
        <v>509</v>
      </c>
      <c r="C50" s="254">
        <v>0.44794952681388012</v>
      </c>
      <c r="D50" s="255">
        <f t="shared" si="1"/>
        <v>44.794952681388011</v>
      </c>
      <c r="E50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Intermediário</v>
      </c>
      <c r="F50" s="257">
        <v>44.375</v>
      </c>
      <c r="G50" s="255">
        <f>Tabela74[[#This Row],[Meta 2024 (N)]]*0.65</f>
        <v>29.767074999999998</v>
      </c>
      <c r="H50" s="255">
        <v>45.795499999999997</v>
      </c>
      <c r="I50" s="258" t="b">
        <f>IF(E50="Referência",
   IF(Tabela74[[#This Row],[TCC 2024 (N)]]&gt;=Tabela74[[#This Row],[TCC 2023(n)]],1,
      IF(Tabela74[[#This Row],[TCC 2024 (N)]]&gt;=C44,0.95,
         IF(AND(Tabela74[[#This Row],[TCC 2024 (N)]]&lt;Tabela74[[#This Row],[TCC 2024]], Tabela74[[#This Row],[TCC 2024 (N)]]&gt;E43),0.85,
            IF(AND(Tabela74[[#This Row],[TCC 2024 (N)]]&lt;E43, Tabela74[[#This Row],[TCC 2024 (N)]]&gt;=C43),0.8, FALSE)
         )
      )
   )
)</f>
        <v>0</v>
      </c>
      <c r="J50" s="258" t="b">
        <f>IF(E50="Excelência",
   IF(Tabela74[[#This Row],[TCC 2024 (N)]]&gt;=Tabela74[[#This Row],[TCC 2023(n)]],1,
      IF(Tabela74[[#This Row],[TCC 2024 (N)]]&gt;=C44,0.95,
         IF(AND(Tabela74[[#This Row],[TCC 2024 (N)]]&lt;Tabela74[[#This Row],[TCC 2024]], Tabela74[[#This Row],[TCC 2024 (N)]]&gt;E43),0.85,
            IF(AND(Tabela74[[#This Row],[TCC 2024 (N)]]&lt;E43, Tabela74[[#This Row],[TCC 2024 (N)]]&gt;=C43),0.8, FALSE)
         )
      )
   )
)</f>
        <v>0</v>
      </c>
      <c r="K50" s="258">
        <f>IF(E50="Intermediário", MAX(0, MIN(1, (Tabela74[[#This Row],[TCC 2024 (N)]]-Tabela74[[#This Row],[Linha de Base 2024 (N) ]])/(Tabela74[[#This Row],[Meta 2024 (N)]]-Tabela74[[#This Row],[Linha de Base 2024 (N) ]]))), "FALSO")</f>
        <v>0.93757669149576539</v>
      </c>
      <c r="L50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50" s="259">
        <f>SUM(Tabela74[[#This Row],[ICM Atribuído - Grupo 1]:[ICM Atribuído - Grupo 4]])</f>
        <v>0.93757669149576539</v>
      </c>
      <c r="N50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1</v>
      </c>
      <c r="O50" s="258">
        <f>IF(Tabela74[[#This Row],[APLICANDO FORMULA GRUPO 3 - ENQUADRAMENTO]]&lt;0,0,Tabela74[[#This Row],[APLICANDO FORMULA GRUPO 3 - ENQUADRAMENTO]])</f>
        <v>1</v>
      </c>
    </row>
    <row r="51" spans="1:15">
      <c r="A51" s="260">
        <v>183</v>
      </c>
      <c r="B51" s="261" t="s">
        <v>510</v>
      </c>
      <c r="C51" s="262">
        <v>0.3861607142857143</v>
      </c>
      <c r="D51" s="255">
        <f t="shared" si="1"/>
        <v>38.616071428571431</v>
      </c>
      <c r="E51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51" s="263">
        <v>39</v>
      </c>
      <c r="G51" s="255">
        <f>Tabela74[[#This Row],[Meta 2024 (N)]]*0.65</f>
        <v>25.567490000000003</v>
      </c>
      <c r="H51" s="264">
        <v>39.334600000000002</v>
      </c>
      <c r="I51" s="258" t="b">
        <f>IF(E51="Referência",
   IF(Tabela74[[#This Row],[TCC 2024 (N)]]&gt;=Tabela74[[#This Row],[TCC 2023(n)]],1,
      IF(Tabela74[[#This Row],[TCC 2024 (N)]]&gt;=C45,0.95,
         IF(AND(Tabela74[[#This Row],[TCC 2024 (N)]]&lt;Tabela74[[#This Row],[TCC 2024]], Tabela74[[#This Row],[TCC 2024 (N)]]&gt;E44),0.85,
            IF(AND(Tabela74[[#This Row],[TCC 2024 (N)]]&lt;E44, Tabela74[[#This Row],[TCC 2024 (N)]]&gt;=C44),0.8, FALSE)
         )
      )
   )
)</f>
        <v>0</v>
      </c>
      <c r="J51" s="258" t="b">
        <f>IF(E51="Excelência",
   IF(Tabela74[[#This Row],[TCC 2024 (N)]]&gt;=Tabela74[[#This Row],[TCC 2023(n)]],1,
      IF(Tabela74[[#This Row],[TCC 2024 (N)]]&gt;=C45,0.95,
         IF(AND(Tabela74[[#This Row],[TCC 2024 (N)]]&lt;Tabela74[[#This Row],[TCC 2024]], Tabela74[[#This Row],[TCC 2024 (N)]]&gt;E44),0.85,
            IF(AND(Tabela74[[#This Row],[TCC 2024 (N)]]&lt;E44, Tabela74[[#This Row],[TCC 2024 (N)]]&gt;=C44),0.8, FALSE)
         )
      )
   )
)</f>
        <v>0</v>
      </c>
      <c r="K51" s="258" t="str">
        <f>IF(E51="Intermediário", MAX(0, MIN(1, (Tabela74[[#This Row],[TCC 2024 (N)]]-Tabela74[[#This Row],[Linha de Base 2024 (N) ]])/(Tabela74[[#This Row],[Meta 2024 (N)]]-Tabela74[[#This Row],[Linha de Base 2024 (N) ]]))), "FALSO")</f>
        <v>FALSO</v>
      </c>
      <c r="L51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0.94780832204953902</v>
      </c>
      <c r="M51" s="259">
        <f>SUM(Tabela74[[#This Row],[ICM Atribuído - Grupo 1]:[ICM Atribuído - Grupo 4]])</f>
        <v>0.94780832204953902</v>
      </c>
      <c r="N51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0.94780832204953902</v>
      </c>
      <c r="O51" s="258">
        <f>IF(Tabela74[[#This Row],[APLICANDO FORMULA GRUPO 3 - ENQUADRAMENTO]]&lt;0,0,Tabela74[[#This Row],[APLICANDO FORMULA GRUPO 3 - ENQUADRAMENTO]])</f>
        <v>0.94780832204953902</v>
      </c>
    </row>
    <row r="52" spans="1:15">
      <c r="A52" s="252">
        <v>184</v>
      </c>
      <c r="B52" s="253" t="s">
        <v>511</v>
      </c>
      <c r="C52" s="254">
        <v>0.40740740740740738</v>
      </c>
      <c r="D52" s="255">
        <f t="shared" si="1"/>
        <v>40.74074074074074</v>
      </c>
      <c r="E52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Intermediário</v>
      </c>
      <c r="F52" s="257">
        <v>35</v>
      </c>
      <c r="G52" s="255">
        <f>Tabela74[[#This Row],[Meta 2024 (N)]]*0.65</f>
        <v>23.20383</v>
      </c>
      <c r="H52" s="255">
        <v>35.6982</v>
      </c>
      <c r="I52" s="258" t="b">
        <f>IF(E52="Referência",
   IF(Tabela74[[#This Row],[TCC 2024 (N)]]&gt;=Tabela74[[#This Row],[TCC 2023(n)]],1,
      IF(Tabela74[[#This Row],[TCC 2024 (N)]]&gt;=C46,0.95,
         IF(AND(Tabela74[[#This Row],[TCC 2024 (N)]]&lt;Tabela74[[#This Row],[TCC 2024]], Tabela74[[#This Row],[TCC 2024 (N)]]&gt;E45),0.85,
            IF(AND(Tabela74[[#This Row],[TCC 2024 (N)]]&lt;E45, Tabela74[[#This Row],[TCC 2024 (N)]]&gt;=C45),0.8, FALSE)
         )
      )
   )
)</f>
        <v>0</v>
      </c>
      <c r="J52" s="258" t="b">
        <f>IF(E52="Excelência",
   IF(Tabela74[[#This Row],[TCC 2024 (N)]]&gt;=Tabela74[[#This Row],[TCC 2023(n)]],1,
      IF(Tabela74[[#This Row],[TCC 2024 (N)]]&gt;=C46,0.95,
         IF(AND(Tabela74[[#This Row],[TCC 2024 (N)]]&lt;Tabela74[[#This Row],[TCC 2024]], Tabela74[[#This Row],[TCC 2024 (N)]]&gt;E45),0.85,
            IF(AND(Tabela74[[#This Row],[TCC 2024 (N)]]&lt;E45, Tabela74[[#This Row],[TCC 2024 (N)]]&gt;=C45),0.8, FALSE)
         )
      )
   )
)</f>
        <v>0</v>
      </c>
      <c r="K52" s="258">
        <f>IF(E52="Intermediário", MAX(0, MIN(1, (Tabela74[[#This Row],[TCC 2024 (N)]]-Tabela74[[#This Row],[Linha de Base 2024 (N) ]])/(Tabela74[[#This Row],[Meta 2024 (N)]]-Tabela74[[#This Row],[Linha de Base 2024 (N) ]]))), "FALSO")</f>
        <v>1</v>
      </c>
      <c r="L52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52" s="259">
        <f>SUM(Tabela74[[#This Row],[ICM Atribuído - Grupo 1]:[ICM Atribuído - Grupo 4]])</f>
        <v>1</v>
      </c>
      <c r="N52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1</v>
      </c>
      <c r="O52" s="258">
        <f>IF(Tabela74[[#This Row],[APLICANDO FORMULA GRUPO 3 - ENQUADRAMENTO]]&lt;0,0,Tabela74[[#This Row],[APLICANDO FORMULA GRUPO 3 - ENQUADRAMENTO]])</f>
        <v>1</v>
      </c>
    </row>
    <row r="53" spans="1:15">
      <c r="A53" s="260">
        <v>189</v>
      </c>
      <c r="B53" s="261" t="s">
        <v>512</v>
      </c>
      <c r="C53" s="262">
        <v>0.29941860465116277</v>
      </c>
      <c r="D53" s="255">
        <f t="shared" si="1"/>
        <v>29.941860465116278</v>
      </c>
      <c r="E53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53" s="263">
        <v>36.25</v>
      </c>
      <c r="G53" s="255">
        <f>Tabela74[[#This Row],[Meta 2024 (N)]]*0.65</f>
        <v>23.942490000000003</v>
      </c>
      <c r="H53" s="264">
        <v>36.834600000000002</v>
      </c>
      <c r="I53" s="258" t="b">
        <f>IF(E53="Referência",
   IF(Tabela74[[#This Row],[TCC 2024 (N)]]&gt;=Tabela74[[#This Row],[TCC 2023(n)]],1,
      IF(Tabela74[[#This Row],[TCC 2024 (N)]]&gt;=C47,0.95,
         IF(AND(Tabela74[[#This Row],[TCC 2024 (N)]]&lt;Tabela74[[#This Row],[TCC 2024]], Tabela74[[#This Row],[TCC 2024 (N)]]&gt;E46),0.85,
            IF(AND(Tabela74[[#This Row],[TCC 2024 (N)]]&lt;E46, Tabela74[[#This Row],[TCC 2024 (N)]]&gt;=C46),0.8, FALSE)
         )
      )
   )
)</f>
        <v>0</v>
      </c>
      <c r="J53" s="258" t="b">
        <f>IF(E53="Excelência",
   IF(Tabela74[[#This Row],[TCC 2024 (N)]]&gt;=Tabela74[[#This Row],[TCC 2023(n)]],1,
      IF(Tabela74[[#This Row],[TCC 2024 (N)]]&gt;=C47,0.95,
         IF(AND(Tabela74[[#This Row],[TCC 2024 (N)]]&lt;Tabela74[[#This Row],[TCC 2024]], Tabela74[[#This Row],[TCC 2024 (N)]]&gt;E46),0.85,
            IF(AND(Tabela74[[#This Row],[TCC 2024 (N)]]&lt;E46, Tabela74[[#This Row],[TCC 2024 (N)]]&gt;=C46),0.8, FALSE)
         )
      )
   )
)</f>
        <v>0</v>
      </c>
      <c r="K53" s="258" t="str">
        <f>IF(E53="Intermediário", MAX(0, MIN(1, (Tabela74[[#This Row],[TCC 2024 (N)]]-Tabela74[[#This Row],[Linha de Base 2024 (N) ]])/(Tabela74[[#This Row],[Meta 2024 (N)]]-Tabela74[[#This Row],[Linha de Base 2024 (N) ]]))), "FALSO")</f>
        <v>FALSO</v>
      </c>
      <c r="L53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0.46535210024707169</v>
      </c>
      <c r="M53" s="259">
        <f>SUM(Tabela74[[#This Row],[ICM Atribuído - Grupo 1]:[ICM Atribuído - Grupo 4]])</f>
        <v>0.46535210024707169</v>
      </c>
      <c r="N53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0.46535210024707169</v>
      </c>
      <c r="O53" s="258">
        <f>IF(Tabela74[[#This Row],[APLICANDO FORMULA GRUPO 3 - ENQUADRAMENTO]]&lt;0,0,Tabela74[[#This Row],[APLICANDO FORMULA GRUPO 3 - ENQUADRAMENTO]])</f>
        <v>0.46535210024707169</v>
      </c>
    </row>
    <row r="54" spans="1:15">
      <c r="A54" s="252">
        <v>192</v>
      </c>
      <c r="B54" s="253" t="s">
        <v>513</v>
      </c>
      <c r="C54" s="254">
        <v>0.29157667386609071</v>
      </c>
      <c r="D54" s="255">
        <f t="shared" si="1"/>
        <v>29.15766738660907</v>
      </c>
      <c r="E54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54" s="257">
        <v>33.75</v>
      </c>
      <c r="G54" s="255">
        <f>Tabela74[[#This Row],[Meta 2024 (N)]]*0.65</f>
        <v>22.465235000000003</v>
      </c>
      <c r="H54" s="255">
        <v>34.561900000000001</v>
      </c>
      <c r="I54" s="258" t="b">
        <f>IF(E54="Referência",
   IF(Tabela74[[#This Row],[TCC 2024 (N)]]&gt;=Tabela74[[#This Row],[TCC 2023(n)]],1,
      IF(Tabela74[[#This Row],[TCC 2024 (N)]]&gt;=C48,0.95,
         IF(AND(Tabela74[[#This Row],[TCC 2024 (N)]]&lt;Tabela74[[#This Row],[TCC 2024]], Tabela74[[#This Row],[TCC 2024 (N)]]&gt;E47),0.85,
            IF(AND(Tabela74[[#This Row],[TCC 2024 (N)]]&lt;E47, Tabela74[[#This Row],[TCC 2024 (N)]]&gt;=C47),0.8, FALSE)
         )
      )
   )
)</f>
        <v>0</v>
      </c>
      <c r="J54" s="258" t="b">
        <f>IF(E54="Excelência",
   IF(Tabela74[[#This Row],[TCC 2024 (N)]]&gt;=Tabela74[[#This Row],[TCC 2023(n)]],1,
      IF(Tabela74[[#This Row],[TCC 2024 (N)]]&gt;=C48,0.95,
         IF(AND(Tabela74[[#This Row],[TCC 2024 (N)]]&lt;Tabela74[[#This Row],[TCC 2024]], Tabela74[[#This Row],[TCC 2024 (N)]]&gt;E47),0.85,
            IF(AND(Tabela74[[#This Row],[TCC 2024 (N)]]&lt;E47, Tabela74[[#This Row],[TCC 2024 (N)]]&gt;=C47),0.8, FALSE)
         )
      )
   )
)</f>
        <v>0</v>
      </c>
      <c r="K54" s="258" t="str">
        <f>IF(E54="Intermediário", MAX(0, MIN(1, (Tabela74[[#This Row],[TCC 2024 (N)]]-Tabela74[[#This Row],[Linha de Base 2024 (N) ]])/(Tabela74[[#This Row],[Meta 2024 (N)]]-Tabela74[[#This Row],[Linha de Base 2024 (N) ]]))), "FALSO")</f>
        <v>FALSO</v>
      </c>
      <c r="L54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0.55324607126088621</v>
      </c>
      <c r="M54" s="259">
        <f>SUM(Tabela74[[#This Row],[ICM Atribuído - Grupo 1]:[ICM Atribuído - Grupo 4]])</f>
        <v>0.55324607126088621</v>
      </c>
      <c r="N54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0.55324607126088621</v>
      </c>
      <c r="O54" s="258">
        <f>IF(Tabela74[[#This Row],[APLICANDO FORMULA GRUPO 3 - ENQUADRAMENTO]]&lt;0,0,Tabela74[[#This Row],[APLICANDO FORMULA GRUPO 3 - ENQUADRAMENTO]])</f>
        <v>0.55324607126088621</v>
      </c>
    </row>
    <row r="55" spans="1:15">
      <c r="A55" s="260">
        <v>196</v>
      </c>
      <c r="B55" s="261" t="s">
        <v>514</v>
      </c>
      <c r="C55" s="262">
        <v>0.33333333333333331</v>
      </c>
      <c r="D55" s="255">
        <f t="shared" si="1"/>
        <v>33.333333333333329</v>
      </c>
      <c r="E55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55" s="263">
        <v>33.055555555555557</v>
      </c>
      <c r="G55" s="255">
        <f>Tabela74[[#This Row],[Meta 2024 (N)]]*0.65</f>
        <v>22.054825000000001</v>
      </c>
      <c r="H55" s="264">
        <v>33.930500000000002</v>
      </c>
      <c r="I55" s="258" t="b">
        <f>IF(E55="Referência",
   IF(Tabela74[[#This Row],[TCC 2024 (N)]]&gt;=Tabela74[[#This Row],[TCC 2023(n)]],1,
      IF(Tabela74[[#This Row],[TCC 2024 (N)]]&gt;=C49,0.95,
         IF(AND(Tabela74[[#This Row],[TCC 2024 (N)]]&lt;Tabela74[[#This Row],[TCC 2024]], Tabela74[[#This Row],[TCC 2024 (N)]]&gt;E48),0.85,
            IF(AND(Tabela74[[#This Row],[TCC 2024 (N)]]&lt;E48, Tabela74[[#This Row],[TCC 2024 (N)]]&gt;=C48),0.8, FALSE)
         )
      )
   )
)</f>
        <v>0</v>
      </c>
      <c r="J55" s="258" t="b">
        <f>IF(E55="Excelência",
   IF(Tabela74[[#This Row],[TCC 2024 (N)]]&gt;=Tabela74[[#This Row],[TCC 2023(n)]],1,
      IF(Tabela74[[#This Row],[TCC 2024 (N)]]&gt;=C49,0.95,
         IF(AND(Tabela74[[#This Row],[TCC 2024 (N)]]&lt;Tabela74[[#This Row],[TCC 2024]], Tabela74[[#This Row],[TCC 2024 (N)]]&gt;E48),0.85,
            IF(AND(Tabela74[[#This Row],[TCC 2024 (N)]]&lt;E48, Tabela74[[#This Row],[TCC 2024 (N)]]&gt;=C48),0.8, FALSE)
         )
      )
   )
)</f>
        <v>0</v>
      </c>
      <c r="K55" s="258" t="str">
        <f>IF(E55="Intermediário", MAX(0, MIN(1, (Tabela74[[#This Row],[TCC 2024 (N)]]-Tabela74[[#This Row],[Linha de Base 2024 (N) ]])/(Tabela74[[#This Row],[Meta 2024 (N)]]-Tabela74[[#This Row],[Linha de Base 2024 (N) ]]))), "FALSO")</f>
        <v>FALSO</v>
      </c>
      <c r="L55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0.94971513899911597</v>
      </c>
      <c r="M55" s="259">
        <f>SUM(Tabela74[[#This Row],[ICM Atribuído - Grupo 1]:[ICM Atribuído - Grupo 4]])</f>
        <v>0.94971513899911597</v>
      </c>
      <c r="N55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0.94971513899911597</v>
      </c>
      <c r="O55" s="258">
        <f>IF(Tabela74[[#This Row],[APLICANDO FORMULA GRUPO 3 - ENQUADRAMENTO]]&lt;0,0,Tabela74[[#This Row],[APLICANDO FORMULA GRUPO 3 - ENQUADRAMENTO]])</f>
        <v>0.94971513899911597</v>
      </c>
    </row>
    <row r="56" spans="1:15">
      <c r="A56" s="252">
        <v>204</v>
      </c>
      <c r="B56" s="253" t="s">
        <v>515</v>
      </c>
      <c r="C56" s="254">
        <v>0.46583850931677018</v>
      </c>
      <c r="D56" s="255">
        <f t="shared" si="1"/>
        <v>46.58385093167702</v>
      </c>
      <c r="E56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Intermediário</v>
      </c>
      <c r="F56" s="257">
        <v>54.166666666666664</v>
      </c>
      <c r="G56" s="255">
        <f>Tabela74[[#This Row],[Meta 2024 (N)]]*0.65</f>
        <v>35.553050000000006</v>
      </c>
      <c r="H56" s="255">
        <v>54.697000000000003</v>
      </c>
      <c r="I56" s="258" t="b">
        <f>IF(E56="Referência",
   IF(Tabela74[[#This Row],[TCC 2024 (N)]]&gt;=Tabela74[[#This Row],[TCC 2023(n)]],1,
      IF(Tabela74[[#This Row],[TCC 2024 (N)]]&gt;=C50,0.95,
         IF(AND(Tabela74[[#This Row],[TCC 2024 (N)]]&lt;Tabela74[[#This Row],[TCC 2024]], Tabela74[[#This Row],[TCC 2024 (N)]]&gt;E49),0.85,
            IF(AND(Tabela74[[#This Row],[TCC 2024 (N)]]&lt;E49, Tabela74[[#This Row],[TCC 2024 (N)]]&gt;=C49),0.8, FALSE)
         )
      )
   )
)</f>
        <v>0</v>
      </c>
      <c r="J56" s="258" t="b">
        <f>IF(E56="Excelência",
   IF(Tabela74[[#This Row],[TCC 2024 (N)]]&gt;=Tabela74[[#This Row],[TCC 2023(n)]],1,
      IF(Tabela74[[#This Row],[TCC 2024 (N)]]&gt;=C50,0.95,
         IF(AND(Tabela74[[#This Row],[TCC 2024 (N)]]&lt;Tabela74[[#This Row],[TCC 2024]], Tabela74[[#This Row],[TCC 2024 (N)]]&gt;E49),0.85,
            IF(AND(Tabela74[[#This Row],[TCC 2024 (N)]]&lt;E49, Tabela74[[#This Row],[TCC 2024 (N)]]&gt;=C49),0.8, FALSE)
         )
      )
   )
)</f>
        <v>0</v>
      </c>
      <c r="K56" s="258">
        <f>IF(E56="Intermediário", MAX(0, MIN(1, (Tabela74[[#This Row],[TCC 2024 (N)]]-Tabela74[[#This Row],[Linha de Base 2024 (N) ]])/(Tabela74[[#This Row],[Meta 2024 (N)]]-Tabela74[[#This Row],[Linha de Base 2024 (N) ]]))), "FALSO")</f>
        <v>0.57620297439541035</v>
      </c>
      <c r="L56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56" s="259">
        <f>SUM(Tabela74[[#This Row],[ICM Atribuído - Grupo 1]:[ICM Atribuído - Grupo 4]])</f>
        <v>0.57620297439541035</v>
      </c>
      <c r="N56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0.75</v>
      </c>
      <c r="O56" s="258">
        <f>IF(Tabela74[[#This Row],[APLICANDO FORMULA GRUPO 3 - ENQUADRAMENTO]]&lt;0,0,Tabela74[[#This Row],[APLICANDO FORMULA GRUPO 3 - ENQUADRAMENTO]])</f>
        <v>0.75</v>
      </c>
    </row>
    <row r="57" spans="1:15">
      <c r="A57" s="260">
        <v>209</v>
      </c>
      <c r="B57" s="261" t="s">
        <v>516</v>
      </c>
      <c r="C57" s="262">
        <v>0.42714285714285716</v>
      </c>
      <c r="D57" s="255">
        <f t="shared" si="1"/>
        <v>42.714285714285715</v>
      </c>
      <c r="E57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Intermediário</v>
      </c>
      <c r="F57" s="263">
        <v>44.375</v>
      </c>
      <c r="G57" s="255">
        <f>Tabela74[[#This Row],[Meta 2024 (N)]]*0.65</f>
        <v>29.767074999999998</v>
      </c>
      <c r="H57" s="264">
        <v>45.795499999999997</v>
      </c>
      <c r="I57" s="258" t="b">
        <f>IF(E57="Referência",
   IF(Tabela74[[#This Row],[TCC 2024 (N)]]&gt;=Tabela74[[#This Row],[TCC 2023(n)]],1,
      IF(Tabela74[[#This Row],[TCC 2024 (N)]]&gt;=C51,0.95,
         IF(AND(Tabela74[[#This Row],[TCC 2024 (N)]]&lt;Tabela74[[#This Row],[TCC 2024]], Tabela74[[#This Row],[TCC 2024 (N)]]&gt;E50),0.85,
            IF(AND(Tabela74[[#This Row],[TCC 2024 (N)]]&lt;E50, Tabela74[[#This Row],[TCC 2024 (N)]]&gt;=C50),0.8, FALSE)
         )
      )
   )
)</f>
        <v>0</v>
      </c>
      <c r="J57" s="258" t="b">
        <f>IF(E57="Excelência",
   IF(Tabela74[[#This Row],[TCC 2024 (N)]]&gt;=Tabela74[[#This Row],[TCC 2023(n)]],1,
      IF(Tabela74[[#This Row],[TCC 2024 (N)]]&gt;=C51,0.95,
         IF(AND(Tabela74[[#This Row],[TCC 2024 (N)]]&lt;Tabela74[[#This Row],[TCC 2024]], Tabela74[[#This Row],[TCC 2024 (N)]]&gt;E50),0.85,
            IF(AND(Tabela74[[#This Row],[TCC 2024 (N)]]&lt;E50, Tabela74[[#This Row],[TCC 2024 (N)]]&gt;=C50),0.8, FALSE)
         )
      )
   )
)</f>
        <v>0</v>
      </c>
      <c r="K57" s="258">
        <f>IF(E57="Intermediário", MAX(0, MIN(1, (Tabela74[[#This Row],[TCC 2024 (N)]]-Tabela74[[#This Row],[Linha de Base 2024 (N) ]])/(Tabela74[[#This Row],[Meta 2024 (N)]]-Tabela74[[#This Row],[Linha de Base 2024 (N) ]]))), "FALSO")</f>
        <v>0.80776562352730963</v>
      </c>
      <c r="L57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57" s="259">
        <f>SUM(Tabela74[[#This Row],[ICM Atribuído - Grupo 1]:[ICM Atribuído - Grupo 4]])</f>
        <v>0.80776562352730963</v>
      </c>
      <c r="N57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1</v>
      </c>
      <c r="O57" s="258">
        <f>IF(Tabela74[[#This Row],[APLICANDO FORMULA GRUPO 3 - ENQUADRAMENTO]]&lt;0,0,Tabela74[[#This Row],[APLICANDO FORMULA GRUPO 3 - ENQUADRAMENTO]])</f>
        <v>1</v>
      </c>
    </row>
    <row r="58" spans="1:15">
      <c r="A58" s="252">
        <v>216</v>
      </c>
      <c r="B58" s="253" t="s">
        <v>517</v>
      </c>
      <c r="C58" s="254">
        <v>0.32441860465116279</v>
      </c>
      <c r="D58" s="255">
        <f t="shared" si="1"/>
        <v>32.441860465116278</v>
      </c>
      <c r="E58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58" s="257">
        <v>43.194444444444443</v>
      </c>
      <c r="G58" s="255">
        <f>Tabela74[[#This Row],[Meta 2024 (N)]]*0.65</f>
        <v>29.069430000000001</v>
      </c>
      <c r="H58" s="255">
        <v>44.722200000000001</v>
      </c>
      <c r="I58" s="258" t="b">
        <f>IF(E58="Referência",
   IF(Tabela74[[#This Row],[TCC 2024 (N)]]&gt;=Tabela74[[#This Row],[TCC 2023(n)]],1,
      IF(Tabela74[[#This Row],[TCC 2024 (N)]]&gt;=C52,0.95,
         IF(AND(Tabela74[[#This Row],[TCC 2024 (N)]]&lt;Tabela74[[#This Row],[TCC 2024]], Tabela74[[#This Row],[TCC 2024 (N)]]&gt;E51),0.85,
            IF(AND(Tabela74[[#This Row],[TCC 2024 (N)]]&lt;E51, Tabela74[[#This Row],[TCC 2024 (N)]]&gt;=C51),0.8, FALSE)
         )
      )
   )
)</f>
        <v>0</v>
      </c>
      <c r="J58" s="258" t="b">
        <f>IF(E58="Excelência",
   IF(Tabela74[[#This Row],[TCC 2024 (N)]]&gt;=Tabela74[[#This Row],[TCC 2023(n)]],1,
      IF(Tabela74[[#This Row],[TCC 2024 (N)]]&gt;=C52,0.95,
         IF(AND(Tabela74[[#This Row],[TCC 2024 (N)]]&lt;Tabela74[[#This Row],[TCC 2024]], Tabela74[[#This Row],[TCC 2024 (N)]]&gt;E51),0.85,
            IF(AND(Tabela74[[#This Row],[TCC 2024 (N)]]&lt;E51, Tabela74[[#This Row],[TCC 2024 (N)]]&gt;=C51),0.8, FALSE)
         )
      )
   )
)</f>
        <v>0</v>
      </c>
      <c r="K58" s="258" t="str">
        <f>IF(E58="Intermediário", MAX(0, MIN(1, (Tabela74[[#This Row],[TCC 2024 (N)]]-Tabela74[[#This Row],[Linha de Base 2024 (N) ]])/(Tabela74[[#This Row],[Meta 2024 (N)]]-Tabela74[[#This Row],[Linha de Base 2024 (N) ]]))), "FALSO")</f>
        <v>FALSO</v>
      </c>
      <c r="L58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0.21545263011698743</v>
      </c>
      <c r="M58" s="259">
        <f>SUM(Tabela74[[#This Row],[ICM Atribuído - Grupo 1]:[ICM Atribuído - Grupo 4]])</f>
        <v>0.21545263011698743</v>
      </c>
      <c r="N58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0.21545263011698743</v>
      </c>
      <c r="O58" s="258">
        <f>IF(Tabela74[[#This Row],[APLICANDO FORMULA GRUPO 3 - ENQUADRAMENTO]]&lt;0,0,Tabela74[[#This Row],[APLICANDO FORMULA GRUPO 3 - ENQUADRAMENTO]])</f>
        <v>0.21545263011698743</v>
      </c>
    </row>
    <row r="59" spans="1:15">
      <c r="A59" s="260">
        <v>217</v>
      </c>
      <c r="B59" s="261" t="s">
        <v>518</v>
      </c>
      <c r="C59" s="262">
        <v>0.43010752688172044</v>
      </c>
      <c r="D59" s="255">
        <f t="shared" si="1"/>
        <v>43.01075268817204</v>
      </c>
      <c r="E59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Intermediário</v>
      </c>
      <c r="F59" s="263">
        <v>39.583333333333329</v>
      </c>
      <c r="G59" s="255">
        <f>Tabela74[[#This Row],[Meta 2024 (N)]]*0.65</f>
        <v>25.912185000000001</v>
      </c>
      <c r="H59" s="264">
        <v>39.864899999999999</v>
      </c>
      <c r="I59" s="258" t="b">
        <f>IF(E59="Referência",
   IF(Tabela74[[#This Row],[TCC 2024 (N)]]&gt;=Tabela74[[#This Row],[TCC 2023(n)]],1,
      IF(Tabela74[[#This Row],[TCC 2024 (N)]]&gt;=C53,0.95,
         IF(AND(Tabela74[[#This Row],[TCC 2024 (N)]]&lt;Tabela74[[#This Row],[TCC 2024]], Tabela74[[#This Row],[TCC 2024 (N)]]&gt;E52),0.85,
            IF(AND(Tabela74[[#This Row],[TCC 2024 (N)]]&lt;E52, Tabela74[[#This Row],[TCC 2024 (N)]]&gt;=C52),0.8, FALSE)
         )
      )
   )
)</f>
        <v>0</v>
      </c>
      <c r="J59" s="258" t="b">
        <f>IF(E59="Excelência",
   IF(Tabela74[[#This Row],[TCC 2024 (N)]]&gt;=Tabela74[[#This Row],[TCC 2023(n)]],1,
      IF(Tabela74[[#This Row],[TCC 2024 (N)]]&gt;=C53,0.95,
         IF(AND(Tabela74[[#This Row],[TCC 2024 (N)]]&lt;Tabela74[[#This Row],[TCC 2024]], Tabela74[[#This Row],[TCC 2024 (N)]]&gt;E52),0.85,
            IF(AND(Tabela74[[#This Row],[TCC 2024 (N)]]&lt;E52, Tabela74[[#This Row],[TCC 2024 (N)]]&gt;=C52),0.8, FALSE)
         )
      )
   )
)</f>
        <v>0</v>
      </c>
      <c r="K59" s="258">
        <f>IF(E59="Intermediário", MAX(0, MIN(1, (Tabela74[[#This Row],[TCC 2024 (N)]]-Tabela74[[#This Row],[Linha de Base 2024 (N) ]])/(Tabela74[[#This Row],[Meta 2024 (N)]]-Tabela74[[#This Row],[Linha de Base 2024 (N) ]]))), "FALSO")</f>
        <v>1</v>
      </c>
      <c r="L59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59" s="259">
        <f>SUM(Tabela74[[#This Row],[ICM Atribuído - Grupo 1]:[ICM Atribuído - Grupo 4]])</f>
        <v>1</v>
      </c>
      <c r="N59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1</v>
      </c>
      <c r="O59" s="258">
        <f>IF(Tabela74[[#This Row],[APLICANDO FORMULA GRUPO 3 - ENQUADRAMENTO]]&lt;0,0,Tabela74[[#This Row],[APLICANDO FORMULA GRUPO 3 - ENQUADRAMENTO]])</f>
        <v>1</v>
      </c>
    </row>
    <row r="60" spans="1:15">
      <c r="A60" s="252">
        <v>250</v>
      </c>
      <c r="B60" s="253" t="s">
        <v>519</v>
      </c>
      <c r="C60" s="254">
        <v>0.31663974151857838</v>
      </c>
      <c r="D60" s="255">
        <f t="shared" si="1"/>
        <v>31.663974151857836</v>
      </c>
      <c r="E60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60" s="257">
        <v>37.678571428571431</v>
      </c>
      <c r="G60" s="255">
        <f>Tabela74[[#This Row],[Meta 2024 (N)]]*0.65</f>
        <v>24.786645</v>
      </c>
      <c r="H60" s="255">
        <v>38.133299999999998</v>
      </c>
      <c r="I60" s="258" t="b">
        <f>IF(E60="Referência",
   IF(Tabela74[[#This Row],[TCC 2024 (N)]]&gt;=Tabela74[[#This Row],[TCC 2023(n)]],1,
      IF(Tabela74[[#This Row],[TCC 2024 (N)]]&gt;=C54,0.95,
         IF(AND(Tabela74[[#This Row],[TCC 2024 (N)]]&lt;Tabela74[[#This Row],[TCC 2024]], Tabela74[[#This Row],[TCC 2024 (N)]]&gt;E53),0.85,
            IF(AND(Tabela74[[#This Row],[TCC 2024 (N)]]&lt;E53, Tabela74[[#This Row],[TCC 2024 (N)]]&gt;=C53),0.8, FALSE)
         )
      )
   )
)</f>
        <v>0</v>
      </c>
      <c r="J60" s="258" t="b">
        <f>IF(E60="Excelência",
   IF(Tabela74[[#This Row],[TCC 2024 (N)]]&gt;=Tabela74[[#This Row],[TCC 2023(n)]],1,
      IF(Tabela74[[#This Row],[TCC 2024 (N)]]&gt;=C54,0.95,
         IF(AND(Tabela74[[#This Row],[TCC 2024 (N)]]&lt;Tabela74[[#This Row],[TCC 2024]], Tabela74[[#This Row],[TCC 2024 (N)]]&gt;E53),0.85,
            IF(AND(Tabela74[[#This Row],[TCC 2024 (N)]]&lt;E53, Tabela74[[#This Row],[TCC 2024 (N)]]&gt;=C53),0.8, FALSE)
         )
      )
   )
)</f>
        <v>0</v>
      </c>
      <c r="K60" s="258" t="str">
        <f>IF(E60="Intermediário", MAX(0, MIN(1, (Tabela74[[#This Row],[TCC 2024 (N)]]-Tabela74[[#This Row],[Linha de Base 2024 (N) ]])/(Tabela74[[#This Row],[Meta 2024 (N)]]-Tabela74[[#This Row],[Linha de Base 2024 (N) ]]))), "FALSO")</f>
        <v>FALSO</v>
      </c>
      <c r="L60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0.5152848524111725</v>
      </c>
      <c r="M60" s="259">
        <f>SUM(Tabela74[[#This Row],[ICM Atribuído - Grupo 1]:[ICM Atribuído - Grupo 4]])</f>
        <v>0.5152848524111725</v>
      </c>
      <c r="N60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0.5152848524111725</v>
      </c>
      <c r="O60" s="258">
        <f>IF(Tabela74[[#This Row],[APLICANDO FORMULA GRUPO 3 - ENQUADRAMENTO]]&lt;0,0,Tabela74[[#This Row],[APLICANDO FORMULA GRUPO 3 - ENQUADRAMENTO]])</f>
        <v>0.5152848524111725</v>
      </c>
    </row>
    <row r="61" spans="1:15">
      <c r="A61" s="260">
        <v>251</v>
      </c>
      <c r="B61" s="261" t="s">
        <v>520</v>
      </c>
      <c r="C61" s="262">
        <v>0.4175084175084175</v>
      </c>
      <c r="D61" s="255">
        <f t="shared" si="1"/>
        <v>41.750841750841751</v>
      </c>
      <c r="E61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Intermediário</v>
      </c>
      <c r="F61" s="263">
        <v>37.083333333333336</v>
      </c>
      <c r="G61" s="255">
        <f>Tabela74[[#This Row],[Meta 2024 (N)]]*0.65</f>
        <v>24.434930000000001</v>
      </c>
      <c r="H61" s="264">
        <v>37.592199999999998</v>
      </c>
      <c r="I61" s="258" t="b">
        <f>IF(E61="Referência",
   IF(Tabela74[[#This Row],[TCC 2024 (N)]]&gt;=Tabela74[[#This Row],[TCC 2023(n)]],1,
      IF(Tabela74[[#This Row],[TCC 2024 (N)]]&gt;=C55,0.95,
         IF(AND(Tabela74[[#This Row],[TCC 2024 (N)]]&lt;Tabela74[[#This Row],[TCC 2024]], Tabela74[[#This Row],[TCC 2024 (N)]]&gt;E54),0.85,
            IF(AND(Tabela74[[#This Row],[TCC 2024 (N)]]&lt;E54, Tabela74[[#This Row],[TCC 2024 (N)]]&gt;=C54),0.8, FALSE)
         )
      )
   )
)</f>
        <v>0</v>
      </c>
      <c r="J61" s="258" t="b">
        <f>IF(E61="Excelência",
   IF(Tabela74[[#This Row],[TCC 2024 (N)]]&gt;=Tabela74[[#This Row],[TCC 2023(n)]],1,
      IF(Tabela74[[#This Row],[TCC 2024 (N)]]&gt;=C55,0.95,
         IF(AND(Tabela74[[#This Row],[TCC 2024 (N)]]&lt;Tabela74[[#This Row],[TCC 2024]], Tabela74[[#This Row],[TCC 2024 (N)]]&gt;E54),0.85,
            IF(AND(Tabela74[[#This Row],[TCC 2024 (N)]]&lt;E54, Tabela74[[#This Row],[TCC 2024 (N)]]&gt;=C54),0.8, FALSE)
         )
      )
   )
)</f>
        <v>0</v>
      </c>
      <c r="K61" s="258">
        <f>IF(E61="Intermediário", MAX(0, MIN(1, (Tabela74[[#This Row],[TCC 2024 (N)]]-Tabela74[[#This Row],[Linha de Base 2024 (N) ]])/(Tabela74[[#This Row],[Meta 2024 (N)]]-Tabela74[[#This Row],[Linha de Base 2024 (N) ]]))), "FALSO")</f>
        <v>1</v>
      </c>
      <c r="L61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61" s="259">
        <f>SUM(Tabela74[[#This Row],[ICM Atribuído - Grupo 1]:[ICM Atribuído - Grupo 4]])</f>
        <v>1</v>
      </c>
      <c r="N61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1</v>
      </c>
      <c r="O61" s="258">
        <f>IF(Tabela74[[#This Row],[APLICANDO FORMULA GRUPO 3 - ENQUADRAMENTO]]&lt;0,0,Tabela74[[#This Row],[APLICANDO FORMULA GRUPO 3 - ENQUADRAMENTO]])</f>
        <v>1</v>
      </c>
    </row>
    <row r="62" spans="1:15">
      <c r="A62" s="252">
        <v>257</v>
      </c>
      <c r="B62" s="253" t="s">
        <v>521</v>
      </c>
      <c r="C62" s="254">
        <v>0.25283630470016205</v>
      </c>
      <c r="D62" s="255">
        <f t="shared" si="1"/>
        <v>25.283630470016206</v>
      </c>
      <c r="E62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62" s="257">
        <v>29.666666666666668</v>
      </c>
      <c r="G62" s="255">
        <f>Tabela74[[#This Row],[Meta 2024 (N)]]*0.65</f>
        <v>20.052305</v>
      </c>
      <c r="H62" s="255">
        <v>30.849699999999999</v>
      </c>
      <c r="I62" s="258" t="b">
        <f>IF(E62="Referência",
   IF(Tabela74[[#This Row],[TCC 2024 (N)]]&gt;=Tabela74[[#This Row],[TCC 2023(n)]],1,
      IF(Tabela74[[#This Row],[TCC 2024 (N)]]&gt;=C56,0.95,
         IF(AND(Tabela74[[#This Row],[TCC 2024 (N)]]&lt;Tabela74[[#This Row],[TCC 2024]], Tabela74[[#This Row],[TCC 2024 (N)]]&gt;E55),0.85,
            IF(AND(Tabela74[[#This Row],[TCC 2024 (N)]]&lt;E55, Tabela74[[#This Row],[TCC 2024 (N)]]&gt;=C55),0.8, FALSE)
         )
      )
   )
)</f>
        <v>0</v>
      </c>
      <c r="J62" s="258" t="b">
        <f>IF(E62="Excelência",
   IF(Tabela74[[#This Row],[TCC 2024 (N)]]&gt;=Tabela74[[#This Row],[TCC 2023(n)]],1,
      IF(Tabela74[[#This Row],[TCC 2024 (N)]]&gt;=C56,0.95,
         IF(AND(Tabela74[[#This Row],[TCC 2024 (N)]]&lt;Tabela74[[#This Row],[TCC 2024]], Tabela74[[#This Row],[TCC 2024 (N)]]&gt;E55),0.85,
            IF(AND(Tabela74[[#This Row],[TCC 2024 (N)]]&lt;E55, Tabela74[[#This Row],[TCC 2024 (N)]]&gt;=C55),0.8, FALSE)
         )
      )
   )
)</f>
        <v>0</v>
      </c>
      <c r="K62" s="258" t="str">
        <f>IF(E62="Intermediário", MAX(0, MIN(1, (Tabela74[[#This Row],[TCC 2024 (N)]]-Tabela74[[#This Row],[Linha de Base 2024 (N) ]])/(Tabela74[[#This Row],[Meta 2024 (N)]]-Tabela74[[#This Row],[Linha de Base 2024 (N) ]]))), "FALSO")</f>
        <v>FALSO</v>
      </c>
      <c r="L62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0.48449885088173644</v>
      </c>
      <c r="M62" s="259">
        <f>SUM(Tabela74[[#This Row],[ICM Atribuído - Grupo 1]:[ICM Atribuído - Grupo 4]])</f>
        <v>0.48449885088173644</v>
      </c>
      <c r="N62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0.48449885088173644</v>
      </c>
      <c r="O62" s="258">
        <f>IF(Tabela74[[#This Row],[APLICANDO FORMULA GRUPO 3 - ENQUADRAMENTO]]&lt;0,0,Tabela74[[#This Row],[APLICANDO FORMULA GRUPO 3 - ENQUADRAMENTO]])</f>
        <v>0.48449885088173644</v>
      </c>
    </row>
    <row r="63" spans="1:15">
      <c r="A63" s="260">
        <v>258</v>
      </c>
      <c r="B63" s="261" t="s">
        <v>522</v>
      </c>
      <c r="C63" s="262">
        <v>0.17499999999999999</v>
      </c>
      <c r="D63" s="255">
        <f t="shared" si="1"/>
        <v>17.5</v>
      </c>
      <c r="E63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63" s="263">
        <v>35.625</v>
      </c>
      <c r="G63" s="255">
        <f>Tabela74[[#This Row],[Meta 2024 (N)]]*0.65</f>
        <v>23.573159999999998</v>
      </c>
      <c r="H63" s="264">
        <v>36.266399999999997</v>
      </c>
      <c r="I63" s="258" t="b">
        <f>IF(E63="Referência",
   IF(Tabela74[[#This Row],[TCC 2024 (N)]]&gt;=Tabela74[[#This Row],[TCC 2023(n)]],1,
      IF(Tabela74[[#This Row],[TCC 2024 (N)]]&gt;=C57,0.95,
         IF(AND(Tabela74[[#This Row],[TCC 2024 (N)]]&lt;Tabela74[[#This Row],[TCC 2024]], Tabela74[[#This Row],[TCC 2024 (N)]]&gt;E56),0.85,
            IF(AND(Tabela74[[#This Row],[TCC 2024 (N)]]&lt;E56, Tabela74[[#This Row],[TCC 2024 (N)]]&gt;=C56),0.8, FALSE)
         )
      )
   )
)</f>
        <v>0</v>
      </c>
      <c r="J63" s="258" t="b">
        <f>IF(E63="Excelência",
   IF(Tabela74[[#This Row],[TCC 2024 (N)]]&gt;=Tabela74[[#This Row],[TCC 2023(n)]],1,
      IF(Tabela74[[#This Row],[TCC 2024 (N)]]&gt;=C57,0.95,
         IF(AND(Tabela74[[#This Row],[TCC 2024 (N)]]&lt;Tabela74[[#This Row],[TCC 2024]], Tabela74[[#This Row],[TCC 2024 (N)]]&gt;E56),0.85,
            IF(AND(Tabela74[[#This Row],[TCC 2024 (N)]]&lt;E56, Tabela74[[#This Row],[TCC 2024 (N)]]&gt;=C56),0.8, FALSE)
         )
      )
   )
)</f>
        <v>0</v>
      </c>
      <c r="K63" s="258" t="str">
        <f>IF(E63="Intermediário", MAX(0, MIN(1, (Tabela74[[#This Row],[TCC 2024 (N)]]-Tabela74[[#This Row],[Linha de Base 2024 (N) ]])/(Tabela74[[#This Row],[Meta 2024 (N)]]-Tabela74[[#This Row],[Linha de Base 2024 (N) ]]))), "FALSO")</f>
        <v>FALSO</v>
      </c>
      <c r="L63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-0.47845624915309237</v>
      </c>
      <c r="M63" s="259">
        <f>SUM(Tabela74[[#This Row],[ICM Atribuído - Grupo 1]:[ICM Atribuído - Grupo 4]])</f>
        <v>-0.47845624915309237</v>
      </c>
      <c r="N63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-0.47845624915309237</v>
      </c>
      <c r="O63" s="258">
        <f>IF(Tabela74[[#This Row],[APLICANDO FORMULA GRUPO 3 - ENQUADRAMENTO]]&lt;0,0,Tabela74[[#This Row],[APLICANDO FORMULA GRUPO 3 - ENQUADRAMENTO]])</f>
        <v>0</v>
      </c>
    </row>
    <row r="64" spans="1:15">
      <c r="A64" s="252">
        <v>259</v>
      </c>
      <c r="B64" s="253" t="s">
        <v>523</v>
      </c>
      <c r="C64" s="254">
        <v>0.3949579831932773</v>
      </c>
      <c r="D64" s="255">
        <f t="shared" si="1"/>
        <v>39.495798319327733</v>
      </c>
      <c r="E64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Intermediário</v>
      </c>
      <c r="F64" s="257">
        <v>41.25</v>
      </c>
      <c r="G64" s="255">
        <f>Tabela74[[#This Row],[Meta 2024 (N)]]*0.65</f>
        <v>26.897000000000002</v>
      </c>
      <c r="H64" s="255">
        <v>41.38</v>
      </c>
      <c r="I64" s="258" t="b">
        <f>IF(E64="Referência",
   IF(Tabela74[[#This Row],[TCC 2024 (N)]]&gt;=Tabela74[[#This Row],[TCC 2023(n)]],1,
      IF(Tabela74[[#This Row],[TCC 2024 (N)]]&gt;=C58,0.95,
         IF(AND(Tabela74[[#This Row],[TCC 2024 (N)]]&lt;Tabela74[[#This Row],[TCC 2024]], Tabela74[[#This Row],[TCC 2024 (N)]]&gt;E57),0.85,
            IF(AND(Tabela74[[#This Row],[TCC 2024 (N)]]&lt;E57, Tabela74[[#This Row],[TCC 2024 (N)]]&gt;=C57),0.8, FALSE)
         )
      )
   )
)</f>
        <v>0</v>
      </c>
      <c r="J64" s="258" t="b">
        <f>IF(E64="Excelência",
   IF(Tabela74[[#This Row],[TCC 2024 (N)]]&gt;=Tabela74[[#This Row],[TCC 2023(n)]],1,
      IF(Tabela74[[#This Row],[TCC 2024 (N)]]&gt;=C58,0.95,
         IF(AND(Tabela74[[#This Row],[TCC 2024 (N)]]&lt;Tabela74[[#This Row],[TCC 2024]], Tabela74[[#This Row],[TCC 2024 (N)]]&gt;E57),0.85,
            IF(AND(Tabela74[[#This Row],[TCC 2024 (N)]]&lt;E57, Tabela74[[#This Row],[TCC 2024 (N)]]&gt;=C57),0.8, FALSE)
         )
      )
   )
)</f>
        <v>0</v>
      </c>
      <c r="K64" s="258">
        <f>IF(E64="Intermediário", MAX(0, MIN(1, (Tabela74[[#This Row],[TCC 2024 (N)]]-Tabela74[[#This Row],[Linha de Base 2024 (N) ]])/(Tabela74[[#This Row],[Meta 2024 (N)]]-Tabela74[[#This Row],[Linha de Base 2024 (N) ]]))), "FALSO")</f>
        <v>0.86990252843525029</v>
      </c>
      <c r="L64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64" s="259">
        <f>SUM(Tabela74[[#This Row],[ICM Atribuído - Grupo 1]:[ICM Atribuído - Grupo 4]])</f>
        <v>0.86990252843525029</v>
      </c>
      <c r="N64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1</v>
      </c>
      <c r="O64" s="258">
        <f>IF(Tabela74[[#This Row],[APLICANDO FORMULA GRUPO 3 - ENQUADRAMENTO]]&lt;0,0,Tabela74[[#This Row],[APLICANDO FORMULA GRUPO 3 - ENQUADRAMENTO]])</f>
        <v>1</v>
      </c>
    </row>
    <row r="65" spans="1:15">
      <c r="A65" s="260">
        <v>265</v>
      </c>
      <c r="B65" s="261" t="s">
        <v>524</v>
      </c>
      <c r="C65" s="262">
        <v>0.36871508379888268</v>
      </c>
      <c r="D65" s="255">
        <f t="shared" si="1"/>
        <v>36.871508379888269</v>
      </c>
      <c r="E65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65" s="263">
        <v>41.666666666666671</v>
      </c>
      <c r="G65" s="255">
        <f>Tabela74[[#This Row],[Meta 2024 (N)]]*0.65</f>
        <v>27.143220000000003</v>
      </c>
      <c r="H65" s="264">
        <v>41.758800000000001</v>
      </c>
      <c r="I65" s="258" t="b">
        <f>IF(E65="Referência",
   IF(Tabela74[[#This Row],[TCC 2024 (N)]]&gt;=Tabela74[[#This Row],[TCC 2023(n)]],1,
      IF(Tabela74[[#This Row],[TCC 2024 (N)]]&gt;=C59,0.95,
         IF(AND(Tabela74[[#This Row],[TCC 2024 (N)]]&lt;Tabela74[[#This Row],[TCC 2024]], Tabela74[[#This Row],[TCC 2024 (N)]]&gt;E58),0.85,
            IF(AND(Tabela74[[#This Row],[TCC 2024 (N)]]&lt;E58, Tabela74[[#This Row],[TCC 2024 (N)]]&gt;=C58),0.8, FALSE)
         )
      )
   )
)</f>
        <v>0</v>
      </c>
      <c r="J65" s="258" t="b">
        <f>IF(E65="Excelência",
   IF(Tabela74[[#This Row],[TCC 2024 (N)]]&gt;=Tabela74[[#This Row],[TCC 2023(n)]],1,
      IF(Tabela74[[#This Row],[TCC 2024 (N)]]&gt;=C59,0.95,
         IF(AND(Tabela74[[#This Row],[TCC 2024 (N)]]&lt;Tabela74[[#This Row],[TCC 2024]], Tabela74[[#This Row],[TCC 2024 (N)]]&gt;E58),0.85,
            IF(AND(Tabela74[[#This Row],[TCC 2024 (N)]]&lt;E58, Tabela74[[#This Row],[TCC 2024 (N)]]&gt;=C58),0.8, FALSE)
         )
      )
   )
)</f>
        <v>0</v>
      </c>
      <c r="K65" s="258" t="str">
        <f>IF(E65="Intermediário", MAX(0, MIN(1, (Tabela74[[#This Row],[TCC 2024 (N)]]-Tabela74[[#This Row],[Linha de Base 2024 (N) ]])/(Tabela74[[#This Row],[Meta 2024 (N)]]-Tabela74[[#This Row],[Linha de Base 2024 (N) ]]))), "FALSO")</f>
        <v>FALSO</v>
      </c>
      <c r="L65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0.66561083308963909</v>
      </c>
      <c r="M65" s="259">
        <f>SUM(Tabela74[[#This Row],[ICM Atribuído - Grupo 1]:[ICM Atribuído - Grupo 4]])</f>
        <v>0.66561083308963909</v>
      </c>
      <c r="N65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0.66561083308963909</v>
      </c>
      <c r="O65" s="258">
        <f>IF(Tabela74[[#This Row],[APLICANDO FORMULA GRUPO 3 - ENQUADRAMENTO]]&lt;0,0,Tabela74[[#This Row],[APLICANDO FORMULA GRUPO 3 - ENQUADRAMENTO]])</f>
        <v>0.66561083308963909</v>
      </c>
    </row>
    <row r="66" spans="1:15">
      <c r="A66" s="252">
        <v>269</v>
      </c>
      <c r="B66" s="253" t="s">
        <v>525</v>
      </c>
      <c r="C66" s="254">
        <v>0.55737704918032782</v>
      </c>
      <c r="D66" s="255">
        <f t="shared" si="1"/>
        <v>55.737704918032783</v>
      </c>
      <c r="E66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Excelência</v>
      </c>
      <c r="F66" s="257">
        <v>60</v>
      </c>
      <c r="G66" s="255">
        <f>Tabela74[[#This Row],[Meta 2024 (N)]]*0.65</f>
        <v>39.496860000000005</v>
      </c>
      <c r="H66" s="255">
        <v>60.764400000000002</v>
      </c>
      <c r="I66" s="258" t="b">
        <f>IF(E66="Referência",
   IF(Tabela74[[#This Row],[TCC 2024 (N)]]&gt;=Tabela74[[#This Row],[TCC 2023(n)]],1,
      IF(Tabela74[[#This Row],[TCC 2024 (N)]]&gt;=C60,0.95,
         IF(AND(Tabela74[[#This Row],[TCC 2024 (N)]]&lt;Tabela74[[#This Row],[TCC 2024]], Tabela74[[#This Row],[TCC 2024 (N)]]&gt;E59),0.85,
            IF(AND(Tabela74[[#This Row],[TCC 2024 (N)]]&lt;E59, Tabela74[[#This Row],[TCC 2024 (N)]]&gt;=C59),0.8, FALSE)
         )
      )
   )
)</f>
        <v>0</v>
      </c>
      <c r="J66" s="258">
        <f>IF(E66="Excelência",
   IF(Tabela74[[#This Row],[TCC 2024 (N)]]&gt;=Tabela74[[#This Row],[TCC 2023(n)]],1,
      IF(Tabela74[[#This Row],[TCC 2024 (N)]]&gt;=C60,0.95,
         IF(AND(Tabela74[[#This Row],[TCC 2024 (N)]]&lt;Tabela74[[#This Row],[TCC 2024]], Tabela74[[#This Row],[TCC 2024 (N)]]&gt;E59),0.85,
            IF(AND(Tabela74[[#This Row],[TCC 2024 (N)]]&lt;E59, Tabela74[[#This Row],[TCC 2024 (N)]]&gt;=C59),0.8, FALSE)
         )
      )
   )
)</f>
        <v>0.95</v>
      </c>
      <c r="K66" s="258" t="str">
        <f>IF(E66="Intermediário", MAX(0, MIN(1, (Tabela74[[#This Row],[TCC 2024 (N)]]-Tabela74[[#This Row],[Linha de Base 2024 (N) ]])/(Tabela74[[#This Row],[Meta 2024 (N)]]-Tabela74[[#This Row],[Linha de Base 2024 (N) ]]))), "FALSO")</f>
        <v>FALSO</v>
      </c>
      <c r="L66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66" s="259">
        <f>SUM(Tabela74[[#This Row],[ICM Atribuído - Grupo 1]:[ICM Atribuído - Grupo 4]])</f>
        <v>0.95</v>
      </c>
      <c r="N66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0.95</v>
      </c>
      <c r="O66" s="258">
        <f>IF(Tabela74[[#This Row],[APLICANDO FORMULA GRUPO 3 - ENQUADRAMENTO]]&lt;0,0,Tabela74[[#This Row],[APLICANDO FORMULA GRUPO 3 - ENQUADRAMENTO]])</f>
        <v>0.95</v>
      </c>
    </row>
    <row r="67" spans="1:15">
      <c r="A67" s="260">
        <v>270</v>
      </c>
      <c r="B67" s="261" t="s">
        <v>526</v>
      </c>
      <c r="C67" s="262">
        <v>0.26651480637813213</v>
      </c>
      <c r="D67" s="255">
        <f t="shared" si="1"/>
        <v>26.651480637813211</v>
      </c>
      <c r="E67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67" s="263">
        <v>40.625</v>
      </c>
      <c r="G67" s="255">
        <f>Tabela74[[#This Row],[Meta 2024 (N)]]*0.65</f>
        <v>26.527735000000003</v>
      </c>
      <c r="H67" s="264">
        <v>40.811900000000001</v>
      </c>
      <c r="I67" s="258" t="b">
        <f>IF(E67="Referência",
   IF(Tabela74[[#This Row],[TCC 2024 (N)]]&gt;=Tabela74[[#This Row],[TCC 2023(n)]],1,
      IF(Tabela74[[#This Row],[TCC 2024 (N)]]&gt;=C61,0.95,
         IF(AND(Tabela74[[#This Row],[TCC 2024 (N)]]&lt;Tabela74[[#This Row],[TCC 2024]], Tabela74[[#This Row],[TCC 2024 (N)]]&gt;E60),0.85,
            IF(AND(Tabela74[[#This Row],[TCC 2024 (N)]]&lt;E60, Tabela74[[#This Row],[TCC 2024 (N)]]&gt;=C60),0.8, FALSE)
         )
      )
   )
)</f>
        <v>0</v>
      </c>
      <c r="J67" s="258" t="b">
        <f>IF(E67="Excelência",
   IF(Tabela74[[#This Row],[TCC 2024 (N)]]&gt;=Tabela74[[#This Row],[TCC 2023(n)]],1,
      IF(Tabela74[[#This Row],[TCC 2024 (N)]]&gt;=C61,0.95,
         IF(AND(Tabela74[[#This Row],[TCC 2024 (N)]]&lt;Tabela74[[#This Row],[TCC 2024]], Tabela74[[#This Row],[TCC 2024 (N)]]&gt;E60),0.85,
            IF(AND(Tabela74[[#This Row],[TCC 2024 (N)]]&lt;E60, Tabela74[[#This Row],[TCC 2024 (N)]]&gt;=C60),0.8, FALSE)
         )
      )
   )
)</f>
        <v>0</v>
      </c>
      <c r="K67" s="258" t="str">
        <f>IF(E67="Intermediário", MAX(0, MIN(1, (Tabela74[[#This Row],[TCC 2024 (N)]]-Tabela74[[#This Row],[Linha de Base 2024 (N) ]])/(Tabela74[[#This Row],[Meta 2024 (N)]]-Tabela74[[#This Row],[Linha de Base 2024 (N) ]]))), "FALSO")</f>
        <v>FALSO</v>
      </c>
      <c r="L67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8.6631341638246286E-3</v>
      </c>
      <c r="M67" s="259">
        <f>SUM(Tabela74[[#This Row],[ICM Atribuído - Grupo 1]:[ICM Atribuído - Grupo 4]])</f>
        <v>8.6631341638246286E-3</v>
      </c>
      <c r="N67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8.6631341638246286E-3</v>
      </c>
      <c r="O67" s="258">
        <f>IF(Tabela74[[#This Row],[APLICANDO FORMULA GRUPO 3 - ENQUADRAMENTO]]&lt;0,0,Tabela74[[#This Row],[APLICANDO FORMULA GRUPO 3 - ENQUADRAMENTO]])</f>
        <v>8.6631341638246286E-3</v>
      </c>
    </row>
    <row r="68" spans="1:15">
      <c r="A68" s="252">
        <v>272</v>
      </c>
      <c r="B68" s="253" t="s">
        <v>527</v>
      </c>
      <c r="C68" s="254">
        <v>0.6</v>
      </c>
      <c r="D68" s="255">
        <f t="shared" si="1"/>
        <v>60</v>
      </c>
      <c r="E68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Referência</v>
      </c>
      <c r="F68" s="257">
        <v>76.071428571428569</v>
      </c>
      <c r="G68" s="255">
        <f>Tabela74[[#This Row],[Meta 2024 (N)]]*0.65</f>
        <v>49.678590000000007</v>
      </c>
      <c r="H68" s="255">
        <v>76.428600000000003</v>
      </c>
      <c r="I68" s="258">
        <f>IF(E68="Referência",
   IF(Tabela74[[#This Row],[TCC 2024 (N)]]&gt;=Tabela74[[#This Row],[TCC 2023(n)]],1,
      IF(Tabela74[[#This Row],[TCC 2024 (N)]]&gt;=C62,0.95,
         IF(AND(Tabela74[[#This Row],[TCC 2024 (N)]]&lt;Tabela74[[#This Row],[TCC 2024]], Tabela74[[#This Row],[TCC 2024 (N)]]&gt;E61),0.85,
            IF(AND(Tabela74[[#This Row],[TCC 2024 (N)]]&lt;E61, Tabela74[[#This Row],[TCC 2024 (N)]]&gt;=C61),0.8, FALSE)
         )
      )
   )
)</f>
        <v>0.95</v>
      </c>
      <c r="J68" s="258" t="b">
        <f>IF(E68="Excelência",
   IF(Tabela74[[#This Row],[TCC 2024 (N)]]&gt;=Tabela74[[#This Row],[TCC 2023(n)]],1,
      IF(Tabela74[[#This Row],[TCC 2024 (N)]]&gt;=C62,0.95,
         IF(AND(Tabela74[[#This Row],[TCC 2024 (N)]]&lt;Tabela74[[#This Row],[TCC 2024]], Tabela74[[#This Row],[TCC 2024 (N)]]&gt;E61),0.85,
            IF(AND(Tabela74[[#This Row],[TCC 2024 (N)]]&lt;E61, Tabela74[[#This Row],[TCC 2024 (N)]]&gt;=C61),0.8, FALSE)
         )
      )
   )
)</f>
        <v>0</v>
      </c>
      <c r="K68" s="258" t="str">
        <f>IF(E68="Intermediário", MAX(0, MIN(1, (Tabela74[[#This Row],[TCC 2024 (N)]]-Tabela74[[#This Row],[Linha de Base 2024 (N) ]])/(Tabela74[[#This Row],[Meta 2024 (N)]]-Tabela74[[#This Row],[Linha de Base 2024 (N) ]]))), "FALSO")</f>
        <v>FALSO</v>
      </c>
      <c r="L68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68" s="259">
        <f>SUM(Tabela74[[#This Row],[ICM Atribuído - Grupo 1]:[ICM Atribuído - Grupo 4]])</f>
        <v>0.95</v>
      </c>
      <c r="N68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0.95</v>
      </c>
      <c r="O68" s="258">
        <f>IF(Tabela74[[#This Row],[APLICANDO FORMULA GRUPO 3 - ENQUADRAMENTO]]&lt;0,0,Tabela74[[#This Row],[APLICANDO FORMULA GRUPO 3 - ENQUADRAMENTO]])</f>
        <v>0.95</v>
      </c>
    </row>
    <row r="69" spans="1:15">
      <c r="A69" s="260">
        <v>275</v>
      </c>
      <c r="B69" s="261" t="s">
        <v>528</v>
      </c>
      <c r="C69" s="262">
        <v>0.46875</v>
      </c>
      <c r="D69" s="255">
        <f t="shared" si="1"/>
        <v>46.875</v>
      </c>
      <c r="E69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Intermediário</v>
      </c>
      <c r="F69" s="263">
        <v>80</v>
      </c>
      <c r="G69" s="255">
        <f>Tabela74[[#This Row],[Meta 2024 (N)]]*0.65</f>
        <v>52</v>
      </c>
      <c r="H69" s="264">
        <v>80</v>
      </c>
      <c r="I69" s="258" t="b">
        <f>IF(E69="Referência",
   IF(Tabela74[[#This Row],[TCC 2024 (N)]]&gt;=Tabela74[[#This Row],[TCC 2023(n)]],1,
      IF(Tabela74[[#This Row],[TCC 2024 (N)]]&gt;=C63,0.95,
         IF(AND(Tabela74[[#This Row],[TCC 2024 (N)]]&lt;Tabela74[[#This Row],[TCC 2024]], Tabela74[[#This Row],[TCC 2024 (N)]]&gt;E62),0.85,
            IF(AND(Tabela74[[#This Row],[TCC 2024 (N)]]&lt;E62, Tabela74[[#This Row],[TCC 2024 (N)]]&gt;=C62),0.8, FALSE)
         )
      )
   )
)</f>
        <v>0</v>
      </c>
      <c r="J69" s="258" t="b">
        <f>IF(E69="Excelência",
   IF(Tabela74[[#This Row],[TCC 2024 (N)]]&gt;=Tabela74[[#This Row],[TCC 2023(n)]],1,
      IF(Tabela74[[#This Row],[TCC 2024 (N)]]&gt;=C63,0.95,
         IF(AND(Tabela74[[#This Row],[TCC 2024 (N)]]&lt;Tabela74[[#This Row],[TCC 2024]], Tabela74[[#This Row],[TCC 2024 (N)]]&gt;E62),0.85,
            IF(AND(Tabela74[[#This Row],[TCC 2024 (N)]]&lt;E62, Tabela74[[#This Row],[TCC 2024 (N)]]&gt;=C62),0.8, FALSE)
         )
      )
   )
)</f>
        <v>0</v>
      </c>
      <c r="K69" s="258">
        <f>IF(E69="Intermediário", MAX(0, MIN(1, (Tabela74[[#This Row],[TCC 2024 (N)]]-Tabela74[[#This Row],[Linha de Base 2024 (N) ]])/(Tabela74[[#This Row],[Meta 2024 (N)]]-Tabela74[[#This Row],[Linha de Base 2024 (N) ]]))), "FALSO")</f>
        <v>0</v>
      </c>
      <c r="L69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69" s="259">
        <f>SUM(Tabela74[[#This Row],[ICM Atribuído - Grupo 1]:[ICM Atribuído - Grupo 4]])</f>
        <v>0</v>
      </c>
      <c r="N69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</v>
      </c>
      <c r="O69" s="258">
        <f>IF(Tabela74[[#This Row],[APLICANDO FORMULA GRUPO 3 - ENQUADRAMENTO]]&lt;0,0,Tabela74[[#This Row],[APLICANDO FORMULA GRUPO 3 - ENQUADRAMENTO]])</f>
        <v>0</v>
      </c>
    </row>
    <row r="70" spans="1:15">
      <c r="A70" s="252">
        <v>276</v>
      </c>
      <c r="B70" s="253" t="s">
        <v>529</v>
      </c>
      <c r="C70" s="254">
        <v>0.42976939203354297</v>
      </c>
      <c r="D70" s="255">
        <f t="shared" si="1"/>
        <v>42.976939203354299</v>
      </c>
      <c r="E70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Intermediário</v>
      </c>
      <c r="F70" s="257">
        <v>41.25</v>
      </c>
      <c r="G70" s="255">
        <f>Tabela74[[#This Row],[Meta 2024 (N)]]*0.65</f>
        <v>26.897000000000002</v>
      </c>
      <c r="H70" s="255">
        <v>41.38</v>
      </c>
      <c r="I70" s="258" t="b">
        <f>IF(E70="Referência",
   IF(Tabela74[[#This Row],[TCC 2024 (N)]]&gt;=Tabela74[[#This Row],[TCC 2023(n)]],1,
      IF(Tabela74[[#This Row],[TCC 2024 (N)]]&gt;=C64,0.95,
         IF(AND(Tabela74[[#This Row],[TCC 2024 (N)]]&lt;Tabela74[[#This Row],[TCC 2024]], Tabela74[[#This Row],[TCC 2024 (N)]]&gt;E63),0.85,
            IF(AND(Tabela74[[#This Row],[TCC 2024 (N)]]&lt;E63, Tabela74[[#This Row],[TCC 2024 (N)]]&gt;=C63),0.8, FALSE)
         )
      )
   )
)</f>
        <v>0</v>
      </c>
      <c r="J70" s="258" t="b">
        <f>IF(E70="Excelência",
   IF(Tabela74[[#This Row],[TCC 2024 (N)]]&gt;=Tabela74[[#This Row],[TCC 2023(n)]],1,
      IF(Tabela74[[#This Row],[TCC 2024 (N)]]&gt;=C64,0.95,
         IF(AND(Tabela74[[#This Row],[TCC 2024 (N)]]&lt;Tabela74[[#This Row],[TCC 2024]], Tabela74[[#This Row],[TCC 2024 (N)]]&gt;E63),0.85,
            IF(AND(Tabela74[[#This Row],[TCC 2024 (N)]]&lt;E63, Tabela74[[#This Row],[TCC 2024 (N)]]&gt;=C63),0.8, FALSE)
         )
      )
   )
)</f>
        <v>0</v>
      </c>
      <c r="K70" s="258">
        <f>IF(E70="Intermediário", MAX(0, MIN(1, (Tabela74[[#This Row],[TCC 2024 (N)]]-Tabela74[[#This Row],[Linha de Base 2024 (N) ]])/(Tabela74[[#This Row],[Meta 2024 (N)]]-Tabela74[[#This Row],[Linha de Base 2024 (N) ]]))), "FALSO")</f>
        <v>1</v>
      </c>
      <c r="L70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70" s="259">
        <f>SUM(Tabela74[[#This Row],[ICM Atribuído - Grupo 1]:[ICM Atribuído - Grupo 4]])</f>
        <v>1</v>
      </c>
      <c r="N70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1</v>
      </c>
      <c r="O70" s="258">
        <f>IF(Tabela74[[#This Row],[APLICANDO FORMULA GRUPO 3 - ENQUADRAMENTO]]&lt;0,0,Tabela74[[#This Row],[APLICANDO FORMULA GRUPO 3 - ENQUADRAMENTO]])</f>
        <v>1</v>
      </c>
    </row>
    <row r="71" spans="1:15">
      <c r="A71" s="260">
        <v>278</v>
      </c>
      <c r="B71" s="261" t="s">
        <v>530</v>
      </c>
      <c r="C71" s="262">
        <v>0.41004184100418412</v>
      </c>
      <c r="D71" s="255">
        <f t="shared" si="1"/>
        <v>41.004184100418414</v>
      </c>
      <c r="E71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Intermediário</v>
      </c>
      <c r="F71" s="263">
        <v>38.333333333333336</v>
      </c>
      <c r="G71" s="255">
        <f>Tabela74[[#This Row],[Meta 2024 (N)]]*0.65</f>
        <v>25.173524999999998</v>
      </c>
      <c r="H71" s="264">
        <v>38.728499999999997</v>
      </c>
      <c r="I71" s="258" t="b">
        <f>IF(E71="Referência",
   IF(Tabela74[[#This Row],[TCC 2024 (N)]]&gt;=Tabela74[[#This Row],[TCC 2023(n)]],1,
      IF(Tabela74[[#This Row],[TCC 2024 (N)]]&gt;=C65,0.95,
         IF(AND(Tabela74[[#This Row],[TCC 2024 (N)]]&lt;Tabela74[[#This Row],[TCC 2024]], Tabela74[[#This Row],[TCC 2024 (N)]]&gt;E64),0.85,
            IF(AND(Tabela74[[#This Row],[TCC 2024 (N)]]&lt;E64, Tabela74[[#This Row],[TCC 2024 (N)]]&gt;=C64),0.8, FALSE)
         )
      )
   )
)</f>
        <v>0</v>
      </c>
      <c r="J71" s="258" t="b">
        <f>IF(E71="Excelência",
   IF(Tabela74[[#This Row],[TCC 2024 (N)]]&gt;=Tabela74[[#This Row],[TCC 2023(n)]],1,
      IF(Tabela74[[#This Row],[TCC 2024 (N)]]&gt;=C65,0.95,
         IF(AND(Tabela74[[#This Row],[TCC 2024 (N)]]&lt;Tabela74[[#This Row],[TCC 2024]], Tabela74[[#This Row],[TCC 2024 (N)]]&gt;E64),0.85,
            IF(AND(Tabela74[[#This Row],[TCC 2024 (N)]]&lt;E64, Tabela74[[#This Row],[TCC 2024 (N)]]&gt;=C64),0.8, FALSE)
         )
      )
   )
)</f>
        <v>0</v>
      </c>
      <c r="K71" s="258">
        <f>IF(E71="Intermediário", MAX(0, MIN(1, (Tabela74[[#This Row],[TCC 2024 (N)]]-Tabela74[[#This Row],[Linha de Base 2024 (N) ]])/(Tabela74[[#This Row],[Meta 2024 (N)]]-Tabela74[[#This Row],[Linha de Base 2024 (N) ]]))), "FALSO")</f>
        <v>1</v>
      </c>
      <c r="L71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71" s="259">
        <f>SUM(Tabela74[[#This Row],[ICM Atribuído - Grupo 1]:[ICM Atribuído - Grupo 4]])</f>
        <v>1</v>
      </c>
      <c r="N71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1</v>
      </c>
      <c r="O71" s="258">
        <f>IF(Tabela74[[#This Row],[APLICANDO FORMULA GRUPO 3 - ENQUADRAMENTO]]&lt;0,0,Tabela74[[#This Row],[APLICANDO FORMULA GRUPO 3 - ENQUADRAMENTO]])</f>
        <v>1</v>
      </c>
    </row>
    <row r="72" spans="1:15">
      <c r="A72" s="252">
        <v>280</v>
      </c>
      <c r="B72" s="253" t="s">
        <v>531</v>
      </c>
      <c r="C72" s="254">
        <v>0.23125000000000001</v>
      </c>
      <c r="D72" s="255">
        <f t="shared" si="1"/>
        <v>23.125</v>
      </c>
      <c r="E72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72" s="257">
        <v>32.5</v>
      </c>
      <c r="G72" s="255">
        <f>Tabela74[[#This Row],[Meta 2024 (N)]]*0.65</f>
        <v>21.726575</v>
      </c>
      <c r="H72" s="255">
        <v>33.4255</v>
      </c>
      <c r="I72" s="258" t="b">
        <f>IF(E72="Referência",
   IF(Tabela74[[#This Row],[TCC 2024 (N)]]&gt;=Tabela74[[#This Row],[TCC 2023(n)]],1,
      IF(Tabela74[[#This Row],[TCC 2024 (N)]]&gt;=C66,0.95,
         IF(AND(Tabela74[[#This Row],[TCC 2024 (N)]]&lt;Tabela74[[#This Row],[TCC 2024]], Tabela74[[#This Row],[TCC 2024 (N)]]&gt;E65),0.85,
            IF(AND(Tabela74[[#This Row],[TCC 2024 (N)]]&lt;E65, Tabela74[[#This Row],[TCC 2024 (N)]]&gt;=C65),0.8, FALSE)
         )
      )
   )
)</f>
        <v>0</v>
      </c>
      <c r="J72" s="258" t="b">
        <f>IF(E72="Excelência",
   IF(Tabela74[[#This Row],[TCC 2024 (N)]]&gt;=Tabela74[[#This Row],[TCC 2023(n)]],1,
      IF(Tabela74[[#This Row],[TCC 2024 (N)]]&gt;=C66,0.95,
         IF(AND(Tabela74[[#This Row],[TCC 2024 (N)]]&lt;Tabela74[[#This Row],[TCC 2024]], Tabela74[[#This Row],[TCC 2024 (N)]]&gt;E65),0.85,
            IF(AND(Tabela74[[#This Row],[TCC 2024 (N)]]&lt;E65, Tabela74[[#This Row],[TCC 2024 (N)]]&gt;=C65),0.8, FALSE)
         )
      )
   )
)</f>
        <v>0</v>
      </c>
      <c r="K72" s="258" t="str">
        <f>IF(E72="Intermediário", MAX(0, MIN(1, (Tabela74[[#This Row],[TCC 2024 (N)]]-Tabela74[[#This Row],[Linha de Base 2024 (N) ]])/(Tabela74[[#This Row],[Meta 2024 (N)]]-Tabela74[[#This Row],[Linha de Base 2024 (N) ]]))), "FALSO")</f>
        <v>FALSO</v>
      </c>
      <c r="L72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0.11953448714304944</v>
      </c>
      <c r="M72" s="259">
        <f>SUM(Tabela74[[#This Row],[ICM Atribuído - Grupo 1]:[ICM Atribuído - Grupo 4]])</f>
        <v>0.11953448714304944</v>
      </c>
      <c r="N72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0.11953448714304944</v>
      </c>
      <c r="O72" s="258">
        <f>IF(Tabela74[[#This Row],[APLICANDO FORMULA GRUPO 3 - ENQUADRAMENTO]]&lt;0,0,Tabela74[[#This Row],[APLICANDO FORMULA GRUPO 3 - ENQUADRAMENTO]])</f>
        <v>0.11953448714304944</v>
      </c>
    </row>
    <row r="73" spans="1:15">
      <c r="A73" s="260">
        <v>283</v>
      </c>
      <c r="B73" s="261" t="s">
        <v>532</v>
      </c>
      <c r="C73" s="262">
        <v>0.45</v>
      </c>
      <c r="D73" s="255">
        <f t="shared" si="1"/>
        <v>45</v>
      </c>
      <c r="E73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Intermediário</v>
      </c>
      <c r="F73" s="263">
        <v>37.857142857142854</v>
      </c>
      <c r="G73" s="255">
        <f>Tabela74[[#This Row],[Meta 2024 (N)]]*0.65</f>
        <v>24.892140000000001</v>
      </c>
      <c r="H73" s="264">
        <v>38.2956</v>
      </c>
      <c r="I73" s="258" t="b">
        <f>IF(E73="Referência",
   IF(Tabela74[[#This Row],[TCC 2024 (N)]]&gt;=Tabela74[[#This Row],[TCC 2023(n)]],1,
      IF(Tabela74[[#This Row],[TCC 2024 (N)]]&gt;=C67,0.95,
         IF(AND(Tabela74[[#This Row],[TCC 2024 (N)]]&lt;Tabela74[[#This Row],[TCC 2024]], Tabela74[[#This Row],[TCC 2024 (N)]]&gt;E66),0.85,
            IF(AND(Tabela74[[#This Row],[TCC 2024 (N)]]&lt;E66, Tabela74[[#This Row],[TCC 2024 (N)]]&gt;=C66),0.8, FALSE)
         )
      )
   )
)</f>
        <v>0</v>
      </c>
      <c r="J73" s="258" t="b">
        <f>IF(E73="Excelência",
   IF(Tabela74[[#This Row],[TCC 2024 (N)]]&gt;=Tabela74[[#This Row],[TCC 2023(n)]],1,
      IF(Tabela74[[#This Row],[TCC 2024 (N)]]&gt;=C67,0.95,
         IF(AND(Tabela74[[#This Row],[TCC 2024 (N)]]&lt;Tabela74[[#This Row],[TCC 2024]], Tabela74[[#This Row],[TCC 2024 (N)]]&gt;E66),0.85,
            IF(AND(Tabela74[[#This Row],[TCC 2024 (N)]]&lt;E66, Tabela74[[#This Row],[TCC 2024 (N)]]&gt;=C66),0.8, FALSE)
         )
      )
   )
)</f>
        <v>0</v>
      </c>
      <c r="K73" s="258">
        <f>IF(E73="Intermediário", MAX(0, MIN(1, (Tabela74[[#This Row],[TCC 2024 (N)]]-Tabela74[[#This Row],[Linha de Base 2024 (N) ]])/(Tabela74[[#This Row],[Meta 2024 (N)]]-Tabela74[[#This Row],[Linha de Base 2024 (N) ]]))), "FALSO")</f>
        <v>1</v>
      </c>
      <c r="L73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73" s="259">
        <f>SUM(Tabela74[[#This Row],[ICM Atribuído - Grupo 1]:[ICM Atribuído - Grupo 4]])</f>
        <v>1</v>
      </c>
      <c r="N73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1</v>
      </c>
      <c r="O73" s="258">
        <f>IF(Tabela74[[#This Row],[APLICANDO FORMULA GRUPO 3 - ENQUADRAMENTO]]&lt;0,0,Tabela74[[#This Row],[APLICANDO FORMULA GRUPO 3 - ENQUADRAMENTO]])</f>
        <v>1</v>
      </c>
    </row>
    <row r="74" spans="1:15">
      <c r="A74" s="252">
        <v>284</v>
      </c>
      <c r="B74" s="253" t="s">
        <v>533</v>
      </c>
      <c r="C74" s="254">
        <v>0.40645161290322579</v>
      </c>
      <c r="D74" s="255">
        <f t="shared" ref="D74:D82" si="2">C74*100</f>
        <v>40.645161290322577</v>
      </c>
      <c r="E74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Intermediário</v>
      </c>
      <c r="F74" s="257">
        <v>37.1875</v>
      </c>
      <c r="G74" s="255">
        <f>Tabela74[[#This Row],[Meta 2024 (N)]]*0.65</f>
        <v>24.496485000000003</v>
      </c>
      <c r="H74" s="255">
        <v>37.686900000000001</v>
      </c>
      <c r="I74" s="258" t="b">
        <f>IF(E74="Referência",
   IF(Tabela74[[#This Row],[TCC 2024 (N)]]&gt;=Tabela74[[#This Row],[TCC 2023(n)]],1,
      IF(Tabela74[[#This Row],[TCC 2024 (N)]]&gt;=C68,0.95,
         IF(AND(Tabela74[[#This Row],[TCC 2024 (N)]]&lt;Tabela74[[#This Row],[TCC 2024]], Tabela74[[#This Row],[TCC 2024 (N)]]&gt;E67),0.85,
            IF(AND(Tabela74[[#This Row],[TCC 2024 (N)]]&lt;E67, Tabela74[[#This Row],[TCC 2024 (N)]]&gt;=C67),0.8, FALSE)
         )
      )
   )
)</f>
        <v>0</v>
      </c>
      <c r="J74" s="258" t="b">
        <f>IF(E74="Excelência",
   IF(Tabela74[[#This Row],[TCC 2024 (N)]]&gt;=Tabela74[[#This Row],[TCC 2023(n)]],1,
      IF(Tabela74[[#This Row],[TCC 2024 (N)]]&gt;=C68,0.95,
         IF(AND(Tabela74[[#This Row],[TCC 2024 (N)]]&lt;Tabela74[[#This Row],[TCC 2024]], Tabela74[[#This Row],[TCC 2024 (N)]]&gt;E67),0.85,
            IF(AND(Tabela74[[#This Row],[TCC 2024 (N)]]&lt;E67, Tabela74[[#This Row],[TCC 2024 (N)]]&gt;=C67),0.8, FALSE)
         )
      )
   )
)</f>
        <v>0</v>
      </c>
      <c r="K74" s="258">
        <f>IF(E74="Intermediário", MAX(0, MIN(1, (Tabela74[[#This Row],[TCC 2024 (N)]]-Tabela74[[#This Row],[Linha de Base 2024 (N) ]])/(Tabela74[[#This Row],[Meta 2024 (N)]]-Tabela74[[#This Row],[Linha de Base 2024 (N) ]]))), "FALSO")</f>
        <v>1</v>
      </c>
      <c r="L74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74" s="259">
        <f>SUM(Tabela74[[#This Row],[ICM Atribuído - Grupo 1]:[ICM Atribuído - Grupo 4]])</f>
        <v>1</v>
      </c>
      <c r="N74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1</v>
      </c>
      <c r="O74" s="258">
        <f>IF(Tabela74[[#This Row],[APLICANDO FORMULA GRUPO 3 - ENQUADRAMENTO]]&lt;0,0,Tabela74[[#This Row],[APLICANDO FORMULA GRUPO 3 - ENQUADRAMENTO]])</f>
        <v>1</v>
      </c>
    </row>
    <row r="75" spans="1:15">
      <c r="A75" s="260">
        <v>286</v>
      </c>
      <c r="B75" s="261" t="s">
        <v>534</v>
      </c>
      <c r="C75" s="262">
        <v>0.14492753623188406</v>
      </c>
      <c r="D75" s="255">
        <f t="shared" si="2"/>
        <v>14.492753623188406</v>
      </c>
      <c r="E75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75" s="263">
        <v>30</v>
      </c>
      <c r="G75" s="255">
        <f>Tabela74[[#This Row],[Meta 2024 (N)]]*0.65</f>
        <v>20.249320000000001</v>
      </c>
      <c r="H75" s="264">
        <v>31.152799999999999</v>
      </c>
      <c r="I75" s="258" t="b">
        <f>IF(E75="Referência",
   IF(Tabela74[[#This Row],[TCC 2024 (N)]]&gt;=Tabela74[[#This Row],[TCC 2023(n)]],1,
      IF(Tabela74[[#This Row],[TCC 2024 (N)]]&gt;=C69,0.95,
         IF(AND(Tabela74[[#This Row],[TCC 2024 (N)]]&lt;Tabela74[[#This Row],[TCC 2024]], Tabela74[[#This Row],[TCC 2024 (N)]]&gt;E68),0.85,
            IF(AND(Tabela74[[#This Row],[TCC 2024 (N)]]&lt;E68, Tabela74[[#This Row],[TCC 2024 (N)]]&gt;=C68),0.8, FALSE)
         )
      )
   )
)</f>
        <v>0</v>
      </c>
      <c r="J75" s="258" t="b">
        <f>IF(E75="Excelência",
   IF(Tabela74[[#This Row],[TCC 2024 (N)]]&gt;=Tabela74[[#This Row],[TCC 2023(n)]],1,
      IF(Tabela74[[#This Row],[TCC 2024 (N)]]&gt;=C69,0.95,
         IF(AND(Tabela74[[#This Row],[TCC 2024 (N)]]&lt;Tabela74[[#This Row],[TCC 2024]], Tabela74[[#This Row],[TCC 2024 (N)]]&gt;E68),0.85,
            IF(AND(Tabela74[[#This Row],[TCC 2024 (N)]]&lt;E68, Tabela74[[#This Row],[TCC 2024 (N)]]&gt;=C68),0.8, FALSE)
         )
      )
   )
)</f>
        <v>0</v>
      </c>
      <c r="K75" s="258" t="str">
        <f>IF(E75="Intermediário", MAX(0, MIN(1, (Tabela74[[#This Row],[TCC 2024 (N)]]-Tabela74[[#This Row],[Linha de Base 2024 (N) ]])/(Tabela74[[#This Row],[Meta 2024 (N)]]-Tabela74[[#This Row],[Linha de Base 2024 (N) ]]))), "FALSO")</f>
        <v>FALSO</v>
      </c>
      <c r="L75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-0.52795679698697995</v>
      </c>
      <c r="M75" s="259">
        <f>SUM(Tabela74[[#This Row],[ICM Atribuído - Grupo 1]:[ICM Atribuído - Grupo 4]])</f>
        <v>-0.52795679698697995</v>
      </c>
      <c r="N75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-0.52795679698697995</v>
      </c>
      <c r="O75" s="258">
        <f>IF(Tabela74[[#This Row],[APLICANDO FORMULA GRUPO 3 - ENQUADRAMENTO]]&lt;0,0,Tabela74[[#This Row],[APLICANDO FORMULA GRUPO 3 - ENQUADRAMENTO]])</f>
        <v>0</v>
      </c>
    </row>
    <row r="76" spans="1:15">
      <c r="A76" s="252">
        <v>288</v>
      </c>
      <c r="B76" s="253" t="s">
        <v>535</v>
      </c>
      <c r="C76" s="254">
        <v>0.43333333333333335</v>
      </c>
      <c r="D76" s="255">
        <f t="shared" si="2"/>
        <v>43.333333333333336</v>
      </c>
      <c r="E76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Intermediário</v>
      </c>
      <c r="F76" s="257">
        <v>44.166666666666664</v>
      </c>
      <c r="G76" s="255">
        <f>Tabela74[[#This Row],[Meta 2024 (N)]]*0.65</f>
        <v>29.643964999999998</v>
      </c>
      <c r="H76" s="255">
        <v>45.606099999999998</v>
      </c>
      <c r="I76" s="258" t="b">
        <f>IF(E76="Referência",
   IF(Tabela74[[#This Row],[TCC 2024 (N)]]&gt;=Tabela74[[#This Row],[TCC 2023(n)]],1,
      IF(Tabela74[[#This Row],[TCC 2024 (N)]]&gt;=C70,0.95,
         IF(AND(Tabela74[[#This Row],[TCC 2024 (N)]]&lt;Tabela74[[#This Row],[TCC 2024]], Tabela74[[#This Row],[TCC 2024 (N)]]&gt;E69),0.85,
            IF(AND(Tabela74[[#This Row],[TCC 2024 (N)]]&lt;E69, Tabela74[[#This Row],[TCC 2024 (N)]]&gt;=C69),0.8, FALSE)
         )
      )
   )
)</f>
        <v>0</v>
      </c>
      <c r="J76" s="258" t="b">
        <f>IF(E76="Excelência",
   IF(Tabela74[[#This Row],[TCC 2024 (N)]]&gt;=Tabela74[[#This Row],[TCC 2023(n)]],1,
      IF(Tabela74[[#This Row],[TCC 2024 (N)]]&gt;=C70,0.95,
         IF(AND(Tabela74[[#This Row],[TCC 2024 (N)]]&lt;Tabela74[[#This Row],[TCC 2024]], Tabela74[[#This Row],[TCC 2024 (N)]]&gt;E69),0.85,
            IF(AND(Tabela74[[#This Row],[TCC 2024 (N)]]&lt;E69, Tabela74[[#This Row],[TCC 2024 (N)]]&gt;=C69),0.8, FALSE)
         )
      )
   )
)</f>
        <v>0</v>
      </c>
      <c r="K76" s="258">
        <f>IF(E76="Intermediário", MAX(0, MIN(1, (Tabela74[[#This Row],[TCC 2024 (N)]]-Tabela74[[#This Row],[Linha de Base 2024 (N) ]])/(Tabela74[[#This Row],[Meta 2024 (N)]]-Tabela74[[#This Row],[Linha de Base 2024 (N) ]]))), "FALSO")</f>
        <v>0.85761512061721934</v>
      </c>
      <c r="L76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76" s="259">
        <f>SUM(Tabela74[[#This Row],[ICM Atribuído - Grupo 1]:[ICM Atribuído - Grupo 4]])</f>
        <v>0.85761512061721934</v>
      </c>
      <c r="N76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1</v>
      </c>
      <c r="O76" s="258">
        <f>IF(Tabela74[[#This Row],[APLICANDO FORMULA GRUPO 3 - ENQUADRAMENTO]]&lt;0,0,Tabela74[[#This Row],[APLICANDO FORMULA GRUPO 3 - ENQUADRAMENTO]])</f>
        <v>1</v>
      </c>
    </row>
    <row r="77" spans="1:15">
      <c r="A77" s="260">
        <v>290</v>
      </c>
      <c r="B77" s="261" t="s">
        <v>536</v>
      </c>
      <c r="C77" s="262">
        <v>0.3125</v>
      </c>
      <c r="D77" s="255">
        <f t="shared" si="2"/>
        <v>31.25</v>
      </c>
      <c r="E77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77" s="263">
        <v>45</v>
      </c>
      <c r="G77" s="255">
        <f>Tabela74[[#This Row],[Meta 2024 (N)]]*0.65</f>
        <v>30.136340000000001</v>
      </c>
      <c r="H77" s="264">
        <v>46.363599999999998</v>
      </c>
      <c r="I77" s="258" t="b">
        <f>IF(E77="Referência",
   IF(Tabela74[[#This Row],[TCC 2024 (N)]]&gt;=Tabela74[[#This Row],[TCC 2023(n)]],1,
      IF(Tabela74[[#This Row],[TCC 2024 (N)]]&gt;=C71,0.95,
         IF(AND(Tabela74[[#This Row],[TCC 2024 (N)]]&lt;Tabela74[[#This Row],[TCC 2024]], Tabela74[[#This Row],[TCC 2024 (N)]]&gt;E70),0.85,
            IF(AND(Tabela74[[#This Row],[TCC 2024 (N)]]&lt;E70, Tabela74[[#This Row],[TCC 2024 (N)]]&gt;=C70),0.8, FALSE)
         )
      )
   )
)</f>
        <v>0</v>
      </c>
      <c r="J77" s="258" t="b">
        <f>IF(E77="Excelência",
   IF(Tabela74[[#This Row],[TCC 2024 (N)]]&gt;=Tabela74[[#This Row],[TCC 2023(n)]],1,
      IF(Tabela74[[#This Row],[TCC 2024 (N)]]&gt;=C71,0.95,
         IF(AND(Tabela74[[#This Row],[TCC 2024 (N)]]&lt;Tabela74[[#This Row],[TCC 2024]], Tabela74[[#This Row],[TCC 2024 (N)]]&gt;E70),0.85,
            IF(AND(Tabela74[[#This Row],[TCC 2024 (N)]]&lt;E70, Tabela74[[#This Row],[TCC 2024 (N)]]&gt;=C70),0.8, FALSE)
         )
      )
   )
)</f>
        <v>0</v>
      </c>
      <c r="K77" s="258" t="str">
        <f>IF(E77="Intermediário", MAX(0, MIN(1, (Tabela74[[#This Row],[TCC 2024 (N)]]-Tabela74[[#This Row],[Linha de Base 2024 (N) ]])/(Tabela74[[#This Row],[Meta 2024 (N)]]-Tabela74[[#This Row],[Linha de Base 2024 (N) ]]))), "FALSO")</f>
        <v>FALSO</v>
      </c>
      <c r="L77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6.8628961389661569E-2</v>
      </c>
      <c r="M77" s="259">
        <f>SUM(Tabela74[[#This Row],[ICM Atribuído - Grupo 1]:[ICM Atribuído - Grupo 4]])</f>
        <v>6.8628961389661569E-2</v>
      </c>
      <c r="N77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6.8628961389661569E-2</v>
      </c>
      <c r="O77" s="258">
        <f>IF(Tabela74[[#This Row],[APLICANDO FORMULA GRUPO 3 - ENQUADRAMENTO]]&lt;0,0,Tabela74[[#This Row],[APLICANDO FORMULA GRUPO 3 - ENQUADRAMENTO]])</f>
        <v>6.8628961389661569E-2</v>
      </c>
    </row>
    <row r="78" spans="1:15">
      <c r="A78" s="252">
        <v>291</v>
      </c>
      <c r="B78" s="253" t="s">
        <v>537</v>
      </c>
      <c r="C78" s="254">
        <v>0.2733812949640288</v>
      </c>
      <c r="D78" s="255">
        <f t="shared" si="2"/>
        <v>27.338129496402878</v>
      </c>
      <c r="E78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Básico</v>
      </c>
      <c r="F78" s="257">
        <v>30.476190476190478</v>
      </c>
      <c r="G78" s="255">
        <f>Tabela74[[#This Row],[Meta 2024 (N)]]*0.65</f>
        <v>20.530705000000001</v>
      </c>
      <c r="H78" s="255">
        <v>31.585699999999999</v>
      </c>
      <c r="I78" s="258" t="b">
        <f>IF(E78="Referência",
   IF(Tabela74[[#This Row],[TCC 2024 (N)]]&gt;=Tabela74[[#This Row],[TCC 2023(n)]],1,
      IF(Tabela74[[#This Row],[TCC 2024 (N)]]&gt;=C72,0.95,
         IF(AND(Tabela74[[#This Row],[TCC 2024 (N)]]&lt;Tabela74[[#This Row],[TCC 2024]], Tabela74[[#This Row],[TCC 2024 (N)]]&gt;E71),0.85,
            IF(AND(Tabela74[[#This Row],[TCC 2024 (N)]]&lt;E71, Tabela74[[#This Row],[TCC 2024 (N)]]&gt;=C71),0.8, FALSE)
         )
      )
   )
)</f>
        <v>0</v>
      </c>
      <c r="J78" s="258" t="b">
        <f>IF(E78="Excelência",
   IF(Tabela74[[#This Row],[TCC 2024 (N)]]&gt;=Tabela74[[#This Row],[TCC 2023(n)]],1,
      IF(Tabela74[[#This Row],[TCC 2024 (N)]]&gt;=C72,0.95,
         IF(AND(Tabela74[[#This Row],[TCC 2024 (N)]]&lt;Tabela74[[#This Row],[TCC 2024]], Tabela74[[#This Row],[TCC 2024 (N)]]&gt;E71),0.85,
            IF(AND(Tabela74[[#This Row],[TCC 2024 (N)]]&lt;E71, Tabela74[[#This Row],[TCC 2024 (N)]]&gt;=C71),0.8, FALSE)
         )
      )
   )
)</f>
        <v>0</v>
      </c>
      <c r="K78" s="258" t="str">
        <f>IF(E78="Intermediário", MAX(0, MIN(1, (Tabela74[[#This Row],[TCC 2024 (N)]]-Tabela74[[#This Row],[Linha de Base 2024 (N) ]])/(Tabela74[[#This Row],[Meta 2024 (N)]]-Tabela74[[#This Row],[Linha de Base 2024 (N) ]]))), "FALSO")</f>
        <v>FALSO</v>
      </c>
      <c r="L78" s="258">
        <f>IF(Tabela74[[#This Row],[Classificação]]="Básico",MIN(1, (Tabela74[[#This Row],[TCC 2024 (N)]]-Tabela74[[#This Row],[Linha de Base 2024 (N) ]])/(Tabela74[[#This Row],[Meta 2024 (N)]]-Tabela74[[#This Row],[Linha de Base 2024 (N) ]])),FALSE)</f>
        <v>0.61577816149196618</v>
      </c>
      <c r="M78" s="259">
        <f>SUM(Tabela74[[#This Row],[ICM Atribuído - Grupo 1]:[ICM Atribuído - Grupo 4]])</f>
        <v>0.61577816149196618</v>
      </c>
      <c r="N78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0.61577816149196618</v>
      </c>
      <c r="O78" s="258">
        <f>IF(Tabela74[[#This Row],[APLICANDO FORMULA GRUPO 3 - ENQUADRAMENTO]]&lt;0,0,Tabela74[[#This Row],[APLICANDO FORMULA GRUPO 3 - ENQUADRAMENTO]])</f>
        <v>0.61577816149196618</v>
      </c>
    </row>
    <row r="79" spans="1:15">
      <c r="A79" s="260">
        <v>292</v>
      </c>
      <c r="B79" s="261" t="s">
        <v>538</v>
      </c>
      <c r="C79" s="262">
        <v>0.44654088050314467</v>
      </c>
      <c r="D79" s="255">
        <f t="shared" si="2"/>
        <v>44.654088050314463</v>
      </c>
      <c r="E79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Intermediário</v>
      </c>
      <c r="F79" s="263">
        <v>53.125</v>
      </c>
      <c r="G79" s="255">
        <f>Tabela74[[#This Row],[Meta 2024 (N)]]*0.65</f>
        <v>34.9375</v>
      </c>
      <c r="H79" s="264">
        <v>53.75</v>
      </c>
      <c r="I79" s="258" t="b">
        <f>IF(E79="Referência",
   IF(Tabela74[[#This Row],[TCC 2024 (N)]]&gt;=Tabela74[[#This Row],[TCC 2023(n)]],1,
      IF(Tabela74[[#This Row],[TCC 2024 (N)]]&gt;=C73,0.95,
         IF(AND(Tabela74[[#This Row],[TCC 2024 (N)]]&lt;Tabela74[[#This Row],[TCC 2024]], Tabela74[[#This Row],[TCC 2024 (N)]]&gt;E72),0.85,
            IF(AND(Tabela74[[#This Row],[TCC 2024 (N)]]&lt;E72, Tabela74[[#This Row],[TCC 2024 (N)]]&gt;=C72),0.8, FALSE)
         )
      )
   )
)</f>
        <v>0</v>
      </c>
      <c r="J79" s="258" t="b">
        <f>IF(E79="Excelência",
   IF(Tabela74[[#This Row],[TCC 2024 (N)]]&gt;=Tabela74[[#This Row],[TCC 2023(n)]],1,
      IF(Tabela74[[#This Row],[TCC 2024 (N)]]&gt;=C73,0.95,
         IF(AND(Tabela74[[#This Row],[TCC 2024 (N)]]&lt;Tabela74[[#This Row],[TCC 2024]], Tabela74[[#This Row],[TCC 2024 (N)]]&gt;E72),0.85,
            IF(AND(Tabela74[[#This Row],[TCC 2024 (N)]]&lt;E72, Tabela74[[#This Row],[TCC 2024 (N)]]&gt;=C72),0.8, FALSE)
         )
      )
   )
)</f>
        <v>0</v>
      </c>
      <c r="K79" s="258">
        <f>IF(E79="Intermediário", MAX(0, MIN(1, (Tabela74[[#This Row],[TCC 2024 (N)]]-Tabela74[[#This Row],[Linha de Base 2024 (N) ]])/(Tabela74[[#This Row],[Meta 2024 (N)]]-Tabela74[[#This Row],[Linha de Base 2024 (N) ]]))), "FALSO")</f>
        <v>0.51649637476754628</v>
      </c>
      <c r="L79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79" s="259">
        <f>SUM(Tabela74[[#This Row],[ICM Atribuído - Grupo 1]:[ICM Atribuído - Grupo 4]])</f>
        <v>0.51649637476754628</v>
      </c>
      <c r="N79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0.75</v>
      </c>
      <c r="O79" s="258">
        <f>IF(Tabela74[[#This Row],[APLICANDO FORMULA GRUPO 3 - ENQUADRAMENTO]]&lt;0,0,Tabela74[[#This Row],[APLICANDO FORMULA GRUPO 3 - ENQUADRAMENTO]])</f>
        <v>0.75</v>
      </c>
    </row>
    <row r="80" spans="1:15">
      <c r="A80" s="252">
        <v>294</v>
      </c>
      <c r="B80" s="253" t="s">
        <v>539</v>
      </c>
      <c r="C80" s="254">
        <v>0.53797468354430378</v>
      </c>
      <c r="D80" s="255">
        <f t="shared" si="2"/>
        <v>53.797468354430379</v>
      </c>
      <c r="E80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Excelência</v>
      </c>
      <c r="F80" s="257">
        <v>40</v>
      </c>
      <c r="G80" s="255">
        <f>Tabela74[[#This Row],[Meta 2024 (N)]]*0.65</f>
        <v>26.158404999999998</v>
      </c>
      <c r="H80" s="255">
        <v>40.243699999999997</v>
      </c>
      <c r="I80" s="258" t="b">
        <f>IF(E80="Referência",
   IF(Tabela74[[#This Row],[TCC 2024 (N)]]&gt;=Tabela74[[#This Row],[TCC 2023(n)]],1,
      IF(Tabela74[[#This Row],[TCC 2024 (N)]]&gt;=C74,0.95,
         IF(AND(Tabela74[[#This Row],[TCC 2024 (N)]]&lt;Tabela74[[#This Row],[TCC 2024]], Tabela74[[#This Row],[TCC 2024 (N)]]&gt;E73),0.85,
            IF(AND(Tabela74[[#This Row],[TCC 2024 (N)]]&lt;E73, Tabela74[[#This Row],[TCC 2024 (N)]]&gt;=C73),0.8, FALSE)
         )
      )
   )
)</f>
        <v>0</v>
      </c>
      <c r="J80" s="258">
        <f>IF(E80="Excelência",
   IF(Tabela74[[#This Row],[TCC 2024 (N)]]&gt;=Tabela74[[#This Row],[TCC 2023(n)]],1,
      IF(Tabela74[[#This Row],[TCC 2024 (N)]]&gt;=C74,0.95,
         IF(AND(Tabela74[[#This Row],[TCC 2024 (N)]]&lt;Tabela74[[#This Row],[TCC 2024]], Tabela74[[#This Row],[TCC 2024 (N)]]&gt;E73),0.85,
            IF(AND(Tabela74[[#This Row],[TCC 2024 (N)]]&lt;E73, Tabela74[[#This Row],[TCC 2024 (N)]]&gt;=C73),0.8, FALSE)
         )
      )
   )
)</f>
        <v>1</v>
      </c>
      <c r="K80" s="258" t="str">
        <f>IF(E80="Intermediário", MAX(0, MIN(1, (Tabela74[[#This Row],[TCC 2024 (N)]]-Tabela74[[#This Row],[Linha de Base 2024 (N) ]])/(Tabela74[[#This Row],[Meta 2024 (N)]]-Tabela74[[#This Row],[Linha de Base 2024 (N) ]]))), "FALSO")</f>
        <v>FALSO</v>
      </c>
      <c r="L80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80" s="259">
        <f>SUM(Tabela74[[#This Row],[ICM Atribuído - Grupo 1]:[ICM Atribuído - Grupo 4]])</f>
        <v>1</v>
      </c>
      <c r="N80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1</v>
      </c>
      <c r="O80" s="258">
        <f>IF(Tabela74[[#This Row],[APLICANDO FORMULA GRUPO 3 - ENQUADRAMENTO]]&lt;0,0,Tabela74[[#This Row],[APLICANDO FORMULA GRUPO 3 - ENQUADRAMENTO]])</f>
        <v>1</v>
      </c>
    </row>
    <row r="81" spans="1:15">
      <c r="A81" s="265">
        <v>296</v>
      </c>
      <c r="B81" s="266" t="s">
        <v>540</v>
      </c>
      <c r="C81" s="267">
        <v>0.40254237288135591</v>
      </c>
      <c r="D81" s="255">
        <f t="shared" si="2"/>
        <v>40.254237288135592</v>
      </c>
      <c r="E81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Intermediário</v>
      </c>
      <c r="F81" s="263">
        <v>44.166666666666664</v>
      </c>
      <c r="G81" s="255">
        <f>Tabela74[[#This Row],[Meta 2024 (N)]]*0.65</f>
        <v>29.643964999999998</v>
      </c>
      <c r="H81" s="268">
        <v>45.606099999999998</v>
      </c>
      <c r="I81" s="258" t="b">
        <f>IF(E81="Referência",
   IF(Tabela74[[#This Row],[TCC 2024 (N)]]&gt;=Tabela74[[#This Row],[TCC 2023(n)]],1,
      IF(Tabela74[[#This Row],[TCC 2024 (N)]]&gt;=C75,0.95,
         IF(AND(Tabela74[[#This Row],[TCC 2024 (N)]]&lt;Tabela74[[#This Row],[TCC 2024]], Tabela74[[#This Row],[TCC 2024 (N)]]&gt;E74),0.85,
            IF(AND(Tabela74[[#This Row],[TCC 2024 (N)]]&lt;E74, Tabela74[[#This Row],[TCC 2024 (N)]]&gt;=C74),0.8, FALSE)
         )
      )
   )
)</f>
        <v>0</v>
      </c>
      <c r="J81" s="258" t="b">
        <f>IF(E81="Excelência",
   IF(Tabela74[[#This Row],[TCC 2024 (N)]]&gt;=Tabela74[[#This Row],[TCC 2023(n)]],1,
      IF(Tabela74[[#This Row],[TCC 2024 (N)]]&gt;=C75,0.95,
         IF(AND(Tabela74[[#This Row],[TCC 2024 (N)]]&lt;Tabela74[[#This Row],[TCC 2024]], Tabela74[[#This Row],[TCC 2024 (N)]]&gt;E74),0.85,
            IF(AND(Tabela74[[#This Row],[TCC 2024 (N)]]&lt;E74, Tabela74[[#This Row],[TCC 2024 (N)]]&gt;=C74),0.8, FALSE)
         )
      )
   )
)</f>
        <v>0</v>
      </c>
      <c r="K81" s="258">
        <f>IF(E81="Intermediário", MAX(0, MIN(1, (Tabela74[[#This Row],[TCC 2024 (N)]]-Tabela74[[#This Row],[Linha de Base 2024 (N) ]])/(Tabela74[[#This Row],[Meta 2024 (N)]]-Tabela74[[#This Row],[Linha de Base 2024 (N) ]]))), "FALSO")</f>
        <v>0.66471510785590981</v>
      </c>
      <c r="L81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81" s="259">
        <f>SUM(Tabela74[[#This Row],[ICM Atribuído - Grupo 1]:[ICM Atribuído - Grupo 4]])</f>
        <v>0.66471510785590981</v>
      </c>
      <c r="N81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0.75</v>
      </c>
      <c r="O81" s="258">
        <f>IF(Tabela74[[#This Row],[APLICANDO FORMULA GRUPO 3 - ENQUADRAMENTO]]&lt;0,0,Tabela74[[#This Row],[APLICANDO FORMULA GRUPO 3 - ENQUADRAMENTO]])</f>
        <v>0.75</v>
      </c>
    </row>
    <row r="82" spans="1:15">
      <c r="A82" s="269">
        <v>297</v>
      </c>
      <c r="B82" s="270" t="s">
        <v>541</v>
      </c>
      <c r="C82" s="271">
        <v>0.61250000000000004</v>
      </c>
      <c r="D82" s="255">
        <f t="shared" si="2"/>
        <v>61.250000000000007</v>
      </c>
      <c r="E82" s="256" t="str">
        <f>IF(Tabela74[[#This Row],[TCC 2024 (N)]]&gt;=$C$4,"Referência",  IF(AND(Tabela74[[#This Row],[TCC 2024 (N)]]&gt;=$C$1,Tabela74[[#This Row],[TCC 2024 (N)]]&lt;$C$4),"Excelência", IF(AND(Tabela74[[#This Row],[TCC 2024 (N)]]&gt;=$C$2,Tabela74[[#This Row],[TCC 2024 (N)]]&lt;$C$1),"Intermediário","Básico")))</f>
        <v>Referência</v>
      </c>
      <c r="F82" s="257">
        <v>50</v>
      </c>
      <c r="G82" s="255">
        <f>Tabela74[[#This Row],[Meta 2024 (N)]]*0.65</f>
        <v>33.090915000000003</v>
      </c>
      <c r="H82" s="272">
        <v>50.909100000000002</v>
      </c>
      <c r="I82" s="258">
        <f>IF(E82="Referência",
   IF(Tabela74[[#This Row],[TCC 2024 (N)]]&gt;=Tabela74[[#This Row],[TCC 2023(n)]],1,
      IF(Tabela74[[#This Row],[TCC 2024 (N)]]&gt;=C76,0.95,
         IF(AND(Tabela74[[#This Row],[TCC 2024 (N)]]&lt;Tabela74[[#This Row],[TCC 2024]], Tabela74[[#This Row],[TCC 2024 (N)]]&gt;E75),0.85,
            IF(AND(Tabela74[[#This Row],[TCC 2024 (N)]]&lt;E75, Tabela74[[#This Row],[TCC 2024 (N)]]&gt;=C75),0.8, FALSE)
         )
      )
   )
)</f>
        <v>1</v>
      </c>
      <c r="J82" s="258" t="b">
        <f>IF(E82="Excelência",
   IF(Tabela74[[#This Row],[TCC 2024 (N)]]&gt;=Tabela74[[#This Row],[TCC 2023(n)]],1,
      IF(Tabela74[[#This Row],[TCC 2024 (N)]]&gt;=C76,0.95,
         IF(AND(Tabela74[[#This Row],[TCC 2024 (N)]]&lt;Tabela74[[#This Row],[TCC 2024]], Tabela74[[#This Row],[TCC 2024 (N)]]&gt;E75),0.85,
            IF(AND(Tabela74[[#This Row],[TCC 2024 (N)]]&lt;E75, Tabela74[[#This Row],[TCC 2024 (N)]]&gt;=C75),0.8, FALSE)
         )
      )
   )
)</f>
        <v>0</v>
      </c>
      <c r="K82" s="258" t="str">
        <f>IF(E82="Intermediário", MAX(0, MIN(1, (Tabela74[[#This Row],[TCC 2024 (N)]]-Tabela74[[#This Row],[Linha de Base 2024 (N) ]])/(Tabela74[[#This Row],[Meta 2024 (N)]]-Tabela74[[#This Row],[Linha de Base 2024 (N) ]]))), "FALSO")</f>
        <v>FALSO</v>
      </c>
      <c r="L82" s="258" t="b">
        <f>IF(Tabela74[[#This Row],[Classificação]]="Básico",MIN(1, (Tabela74[[#This Row],[TCC 2024 (N)]]-Tabela74[[#This Row],[Linha de Base 2024 (N) ]])/(Tabela74[[#This Row],[Meta 2024 (N)]]-Tabela74[[#This Row],[Linha de Base 2024 (N) ]])),FALSE)</f>
        <v>0</v>
      </c>
      <c r="M82" s="259">
        <f>SUM(Tabela74[[#This Row],[ICM Atribuído - Grupo 1]:[ICM Atribuído - Grupo 4]])</f>
        <v>1</v>
      </c>
      <c r="N82" s="258">
        <f xml:space="preserve"> IF(Tabela74[[#This Row],[Classificação]]="Intermediário",
      IF(Tabela74[[#This Row],[ORGANIZANDO VALORES DO ICM DE 0 A 1]]&gt; 0.75, 1,
      IF(Tabela74[[#This Row],[ORGANIZANDO VALORES DO ICM DE 0 A 1]] &gt;= 0.5, 0.75,
      IF(Tabela74[[#This Row],[ORGANIZANDO VALORES DO ICM DE 0 A 1]] &gt;= 0.25, 0.5,
      IF(Tabela74[[#This Row],[ORGANIZANDO VALORES DO ICM DE 0 A 1]] &gt; 0, 0.25, 0)))),
   Tabela74[[#This Row],[ORGANIZANDO VALORES DO ICM DE 0 A 1]]
)</f>
        <v>1</v>
      </c>
      <c r="O82" s="258">
        <f>IF(Tabela74[[#This Row],[APLICANDO FORMULA GRUPO 3 - ENQUADRAMENTO]]&lt;0,0,Tabela74[[#This Row],[APLICANDO FORMULA GRUPO 3 - ENQUADRAMENTO]])</f>
        <v>1</v>
      </c>
    </row>
    <row r="83" spans="1:15">
      <c r="A83" s="265">
        <v>298</v>
      </c>
      <c r="B83" s="266" t="s">
        <v>542</v>
      </c>
      <c r="C83" s="273"/>
      <c r="D83" s="274"/>
      <c r="E83" s="275"/>
      <c r="F83" s="276"/>
      <c r="G83" s="277"/>
      <c r="H83" s="277"/>
      <c r="I83" s="278"/>
      <c r="J83" s="278"/>
      <c r="K83" s="275"/>
      <c r="L83" s="275"/>
      <c r="M83" s="276"/>
      <c r="N83" s="276"/>
      <c r="O83" s="276"/>
    </row>
    <row r="84" spans="1:15">
      <c r="A84" s="269">
        <v>299</v>
      </c>
      <c r="B84" s="270" t="s">
        <v>543</v>
      </c>
      <c r="C84" s="279"/>
      <c r="D84" s="274"/>
      <c r="E84" s="275"/>
      <c r="F84" s="274"/>
      <c r="G84" s="280"/>
      <c r="H84" s="280"/>
      <c r="I84" s="278"/>
      <c r="J84" s="278"/>
      <c r="K84" s="275"/>
      <c r="L84" s="275"/>
      <c r="M84" s="276"/>
      <c r="N84" s="276"/>
      <c r="O84" s="276"/>
    </row>
    <row r="85" spans="1:15">
      <c r="A85" s="265">
        <v>301</v>
      </c>
      <c r="B85" s="266" t="s">
        <v>544</v>
      </c>
      <c r="C85" s="273"/>
      <c r="D85" s="274"/>
      <c r="E85" s="275"/>
      <c r="F85" s="276"/>
      <c r="G85" s="277"/>
      <c r="H85" s="277"/>
      <c r="I85" s="278"/>
      <c r="J85" s="278"/>
      <c r="K85" s="275"/>
      <c r="L85" s="275"/>
      <c r="M85" s="276"/>
      <c r="N85" s="276"/>
      <c r="O85" s="276"/>
    </row>
    <row r="86" spans="1:15">
      <c r="A86" s="281">
        <v>305</v>
      </c>
      <c r="B86" s="281" t="s">
        <v>547</v>
      </c>
      <c r="C86" s="282"/>
      <c r="D86" s="282"/>
      <c r="E86" s="275"/>
      <c r="F86" s="283"/>
      <c r="G86" s="283"/>
      <c r="H86" s="283"/>
      <c r="I86" s="284"/>
      <c r="J86" s="284"/>
      <c r="K86" s="284"/>
      <c r="L86" s="275"/>
      <c r="M86" s="282"/>
      <c r="N86" s="282"/>
      <c r="O86" s="276"/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075C6-526A-4DDE-939E-E76D7C1C59F5}">
  <sheetPr>
    <tabColor rgb="FF0070C0"/>
  </sheetPr>
  <dimension ref="A1:F76"/>
  <sheetViews>
    <sheetView showGridLines="0" workbookViewId="0">
      <selection activeCell="K11" sqref="K11"/>
    </sheetView>
  </sheetViews>
  <sheetFormatPr defaultRowHeight="15"/>
  <cols>
    <col min="1" max="1" width="15.140625" customWidth="1"/>
    <col min="2" max="2" width="27" customWidth="1"/>
    <col min="3" max="3" width="16.85546875" customWidth="1"/>
    <col min="4" max="4" width="15.7109375" customWidth="1"/>
    <col min="5" max="5" width="15.42578125" customWidth="1"/>
    <col min="6" max="6" width="13.5703125" customWidth="1"/>
  </cols>
  <sheetData>
    <row r="1" spans="1:6" ht="42.75" customHeight="1">
      <c r="A1" s="609" t="s">
        <v>714</v>
      </c>
      <c r="B1" s="609"/>
      <c r="C1" s="609"/>
      <c r="D1" s="609"/>
      <c r="E1" s="609"/>
      <c r="F1" s="609"/>
    </row>
    <row r="2" spans="1:6" s="120" customFormat="1" ht="78.75">
      <c r="A2" s="610" t="s">
        <v>715</v>
      </c>
      <c r="B2" s="611" t="s">
        <v>549</v>
      </c>
      <c r="C2" s="611" t="s">
        <v>716</v>
      </c>
      <c r="D2" s="611" t="s">
        <v>717</v>
      </c>
      <c r="E2" s="611" t="s">
        <v>545</v>
      </c>
      <c r="F2" s="611" t="s">
        <v>568</v>
      </c>
    </row>
    <row r="3" spans="1:6" ht="15.75">
      <c r="A3" s="218">
        <v>2</v>
      </c>
      <c r="B3" s="219" t="s">
        <v>469</v>
      </c>
      <c r="C3" s="220"/>
      <c r="D3" s="220">
        <v>16</v>
      </c>
      <c r="E3" s="221">
        <v>11.2</v>
      </c>
      <c r="F3" s="222">
        <v>0.7</v>
      </c>
    </row>
    <row r="4" spans="1:6" ht="15.75">
      <c r="A4" s="218">
        <v>3</v>
      </c>
      <c r="B4" s="219" t="s">
        <v>470</v>
      </c>
      <c r="C4" s="220">
        <v>2</v>
      </c>
      <c r="D4" s="220">
        <v>9</v>
      </c>
      <c r="E4" s="221">
        <v>8.8000000000000007</v>
      </c>
      <c r="F4" s="222">
        <v>0.8</v>
      </c>
    </row>
    <row r="5" spans="1:6" ht="15.75">
      <c r="A5" s="218">
        <v>4</v>
      </c>
      <c r="B5" s="219" t="s">
        <v>471</v>
      </c>
      <c r="C5" s="220">
        <v>1</v>
      </c>
      <c r="D5" s="220">
        <v>5</v>
      </c>
      <c r="E5" s="221">
        <v>3.6</v>
      </c>
      <c r="F5" s="222">
        <v>0.6</v>
      </c>
    </row>
    <row r="6" spans="1:6" ht="15.75">
      <c r="A6" s="218">
        <v>5</v>
      </c>
      <c r="B6" s="219" t="s">
        <v>472</v>
      </c>
      <c r="C6" s="220">
        <v>2</v>
      </c>
      <c r="D6" s="220">
        <v>6</v>
      </c>
      <c r="E6" s="221">
        <v>6.2</v>
      </c>
      <c r="F6" s="222">
        <v>0.77500000000000002</v>
      </c>
    </row>
    <row r="7" spans="1:6" ht="15.75">
      <c r="A7" s="218">
        <v>20</v>
      </c>
      <c r="B7" s="219" t="s">
        <v>473</v>
      </c>
      <c r="C7" s="220"/>
      <c r="D7" s="220">
        <v>7</v>
      </c>
      <c r="E7" s="221">
        <v>4.8</v>
      </c>
      <c r="F7" s="222">
        <v>0.68569999999999998</v>
      </c>
    </row>
    <row r="8" spans="1:6" ht="15.75">
      <c r="A8" s="218">
        <v>21</v>
      </c>
      <c r="B8" s="219" t="s">
        <v>474</v>
      </c>
      <c r="C8" s="220">
        <v>1</v>
      </c>
      <c r="D8" s="220">
        <v>5</v>
      </c>
      <c r="E8" s="221">
        <v>4.4667000000000003</v>
      </c>
      <c r="F8" s="222">
        <v>0.74450000000000005</v>
      </c>
    </row>
    <row r="9" spans="1:6" ht="15.75">
      <c r="A9" s="218">
        <v>22</v>
      </c>
      <c r="B9" s="219" t="s">
        <v>475</v>
      </c>
      <c r="C9" s="220"/>
      <c r="D9" s="220">
        <v>5</v>
      </c>
      <c r="E9" s="221">
        <v>3.8</v>
      </c>
      <c r="F9" s="222">
        <v>0.76</v>
      </c>
    </row>
    <row r="10" spans="1:6" ht="15.75">
      <c r="A10" s="218">
        <v>105</v>
      </c>
      <c r="B10" s="219" t="s">
        <v>476</v>
      </c>
      <c r="C10" s="220"/>
      <c r="D10" s="220">
        <v>5</v>
      </c>
      <c r="E10" s="221">
        <v>3.8</v>
      </c>
      <c r="F10" s="222">
        <v>0.76</v>
      </c>
    </row>
    <row r="11" spans="1:6" ht="15.75">
      <c r="A11" s="218">
        <v>106</v>
      </c>
      <c r="B11" s="219" t="s">
        <v>477</v>
      </c>
      <c r="C11" s="220">
        <v>1</v>
      </c>
      <c r="D11" s="220">
        <v>7</v>
      </c>
      <c r="E11" s="221">
        <v>5.6</v>
      </c>
      <c r="F11" s="222">
        <v>0.7</v>
      </c>
    </row>
    <row r="12" spans="1:6" ht="15.75">
      <c r="A12" s="218">
        <v>109</v>
      </c>
      <c r="B12" s="219" t="s">
        <v>478</v>
      </c>
      <c r="C12" s="220">
        <v>1</v>
      </c>
      <c r="D12" s="220">
        <v>3</v>
      </c>
      <c r="E12" s="221">
        <v>2.2667000000000002</v>
      </c>
      <c r="F12" s="222">
        <v>0.56669999999999998</v>
      </c>
    </row>
    <row r="13" spans="1:6" ht="15.75">
      <c r="A13" s="218">
        <v>111</v>
      </c>
      <c r="B13" s="219" t="s">
        <v>479</v>
      </c>
      <c r="C13" s="220">
        <v>3</v>
      </c>
      <c r="D13" s="220">
        <v>8</v>
      </c>
      <c r="E13" s="221">
        <v>8.1999999999999993</v>
      </c>
      <c r="F13" s="222">
        <v>0.74550000000000005</v>
      </c>
    </row>
    <row r="14" spans="1:6" ht="15.75">
      <c r="A14" s="218">
        <v>112</v>
      </c>
      <c r="B14" s="219" t="s">
        <v>480</v>
      </c>
      <c r="C14" s="220"/>
      <c r="D14" s="220">
        <v>4</v>
      </c>
      <c r="E14" s="221">
        <v>2.4</v>
      </c>
      <c r="F14" s="222">
        <v>0.6</v>
      </c>
    </row>
    <row r="15" spans="1:6" ht="15.75">
      <c r="A15" s="218">
        <v>113</v>
      </c>
      <c r="B15" s="219" t="s">
        <v>481</v>
      </c>
      <c r="C15" s="220">
        <v>1</v>
      </c>
      <c r="D15" s="220">
        <v>5</v>
      </c>
      <c r="E15" s="221">
        <v>4.4000000000000004</v>
      </c>
      <c r="F15" s="222">
        <v>0.73329999999999995</v>
      </c>
    </row>
    <row r="16" spans="1:6" ht="15.75">
      <c r="A16" s="218">
        <v>114</v>
      </c>
      <c r="B16" s="219" t="s">
        <v>482</v>
      </c>
      <c r="C16" s="220">
        <v>1</v>
      </c>
      <c r="D16" s="220">
        <v>6</v>
      </c>
      <c r="E16" s="221">
        <v>4.8</v>
      </c>
      <c r="F16" s="222">
        <v>0.68569999999999998</v>
      </c>
    </row>
    <row r="17" spans="1:6" ht="15.75">
      <c r="A17" s="218">
        <v>119</v>
      </c>
      <c r="B17" s="219" t="s">
        <v>483</v>
      </c>
      <c r="C17" s="220">
        <v>1</v>
      </c>
      <c r="D17" s="220">
        <v>3</v>
      </c>
      <c r="E17" s="221">
        <v>3.6</v>
      </c>
      <c r="F17" s="222">
        <v>0.9</v>
      </c>
    </row>
    <row r="18" spans="1:6" ht="15.75">
      <c r="A18" s="218">
        <v>120</v>
      </c>
      <c r="B18" s="219" t="s">
        <v>484</v>
      </c>
      <c r="C18" s="220"/>
      <c r="D18" s="220">
        <v>5</v>
      </c>
      <c r="E18" s="221">
        <v>4</v>
      </c>
      <c r="F18" s="222">
        <v>0.8</v>
      </c>
    </row>
    <row r="19" spans="1:6" ht="15.75">
      <c r="A19" s="218">
        <v>121</v>
      </c>
      <c r="B19" s="219" t="s">
        <v>485</v>
      </c>
      <c r="C19" s="220"/>
      <c r="D19" s="220">
        <v>3</v>
      </c>
      <c r="E19" s="221">
        <v>2.2000000000000002</v>
      </c>
      <c r="F19" s="222">
        <v>0.73329999999999995</v>
      </c>
    </row>
    <row r="20" spans="1:6" ht="15.75">
      <c r="A20" s="218">
        <v>126</v>
      </c>
      <c r="B20" s="219" t="s">
        <v>486</v>
      </c>
      <c r="C20" s="220">
        <v>1</v>
      </c>
      <c r="D20" s="220">
        <v>3</v>
      </c>
      <c r="E20" s="221">
        <v>3.0667</v>
      </c>
      <c r="F20" s="222">
        <v>0.76670000000000005</v>
      </c>
    </row>
    <row r="21" spans="1:6" ht="15.75">
      <c r="A21" s="218">
        <v>127</v>
      </c>
      <c r="B21" s="219" t="s">
        <v>487</v>
      </c>
      <c r="C21" s="220"/>
      <c r="D21" s="220">
        <v>4</v>
      </c>
      <c r="E21" s="221">
        <v>2.4</v>
      </c>
      <c r="F21" s="222">
        <v>0.6</v>
      </c>
    </row>
    <row r="22" spans="1:6" ht="15.75">
      <c r="A22" s="218">
        <v>129</v>
      </c>
      <c r="B22" s="219" t="s">
        <v>488</v>
      </c>
      <c r="C22" s="220"/>
      <c r="D22" s="220">
        <v>5</v>
      </c>
      <c r="E22" s="221">
        <v>3.2</v>
      </c>
      <c r="F22" s="222">
        <v>0.64</v>
      </c>
    </row>
    <row r="23" spans="1:6" ht="15.75">
      <c r="A23" s="218">
        <v>130</v>
      </c>
      <c r="B23" s="219" t="s">
        <v>489</v>
      </c>
      <c r="C23" s="220">
        <v>1</v>
      </c>
      <c r="D23" s="220">
        <v>2</v>
      </c>
      <c r="E23" s="221">
        <v>2.6</v>
      </c>
      <c r="F23" s="222">
        <v>0.86670000000000003</v>
      </c>
    </row>
    <row r="24" spans="1:6" ht="15.75">
      <c r="A24" s="218">
        <v>131</v>
      </c>
      <c r="B24" s="219" t="s">
        <v>490</v>
      </c>
      <c r="C24" s="220"/>
      <c r="D24" s="220">
        <v>4</v>
      </c>
      <c r="E24" s="221">
        <v>3.2</v>
      </c>
      <c r="F24" s="222">
        <v>0.8</v>
      </c>
    </row>
    <row r="25" spans="1:6" ht="15.75">
      <c r="A25" s="218">
        <v>132</v>
      </c>
      <c r="B25" s="219" t="s">
        <v>491</v>
      </c>
      <c r="C25" s="220">
        <v>1</v>
      </c>
      <c r="D25" s="220">
        <v>5</v>
      </c>
      <c r="E25" s="221">
        <v>5</v>
      </c>
      <c r="F25" s="222">
        <v>0.83330000000000004</v>
      </c>
    </row>
    <row r="26" spans="1:6" ht="15.75">
      <c r="A26" s="218">
        <v>133</v>
      </c>
      <c r="B26" s="219" t="s">
        <v>492</v>
      </c>
      <c r="C26" s="220"/>
      <c r="D26" s="220">
        <v>6</v>
      </c>
      <c r="E26" s="221">
        <v>5.2</v>
      </c>
      <c r="F26" s="222">
        <v>0.86670000000000003</v>
      </c>
    </row>
    <row r="27" spans="1:6" ht="15.75">
      <c r="A27" s="218">
        <v>137</v>
      </c>
      <c r="B27" s="219" t="s">
        <v>493</v>
      </c>
      <c r="C27" s="220"/>
      <c r="D27" s="220">
        <v>4</v>
      </c>
      <c r="E27" s="221">
        <v>2.4</v>
      </c>
      <c r="F27" s="222">
        <v>0.6</v>
      </c>
    </row>
    <row r="28" spans="1:6" ht="15.75">
      <c r="A28" s="218">
        <v>143</v>
      </c>
      <c r="B28" s="219" t="s">
        <v>494</v>
      </c>
      <c r="C28" s="220">
        <v>2</v>
      </c>
      <c r="D28" s="220">
        <v>5</v>
      </c>
      <c r="E28" s="221">
        <v>5.8</v>
      </c>
      <c r="F28" s="222">
        <v>0.8286</v>
      </c>
    </row>
    <row r="29" spans="1:6" ht="15.75">
      <c r="A29" s="218">
        <v>146</v>
      </c>
      <c r="B29" s="219" t="s">
        <v>495</v>
      </c>
      <c r="C29" s="220">
        <v>2</v>
      </c>
      <c r="D29" s="220">
        <v>8</v>
      </c>
      <c r="E29" s="221">
        <v>7.6666999999999996</v>
      </c>
      <c r="F29" s="222">
        <v>0.76670000000000005</v>
      </c>
    </row>
    <row r="30" spans="1:6" ht="15.75">
      <c r="A30" s="218">
        <v>155</v>
      </c>
      <c r="B30" s="219" t="s">
        <v>496</v>
      </c>
      <c r="C30" s="220"/>
      <c r="D30" s="220">
        <v>3</v>
      </c>
      <c r="E30" s="221">
        <v>1.8</v>
      </c>
      <c r="F30" s="222">
        <v>0.6</v>
      </c>
    </row>
    <row r="31" spans="1:6" ht="15.75">
      <c r="A31" s="218">
        <v>157</v>
      </c>
      <c r="B31" s="219" t="s">
        <v>497</v>
      </c>
      <c r="C31" s="220">
        <v>3</v>
      </c>
      <c r="D31" s="220">
        <v>5</v>
      </c>
      <c r="E31" s="221">
        <v>6.4</v>
      </c>
      <c r="F31" s="222">
        <v>0.8</v>
      </c>
    </row>
    <row r="32" spans="1:6" ht="15.75">
      <c r="A32" s="218">
        <v>160</v>
      </c>
      <c r="B32" s="219" t="s">
        <v>498</v>
      </c>
      <c r="C32" s="220"/>
      <c r="D32" s="220">
        <v>4</v>
      </c>
      <c r="E32" s="221">
        <v>3.2</v>
      </c>
      <c r="F32" s="222">
        <v>0.8</v>
      </c>
    </row>
    <row r="33" spans="1:6" ht="15.75">
      <c r="A33" s="218">
        <v>163</v>
      </c>
      <c r="B33" s="219" t="s">
        <v>499</v>
      </c>
      <c r="C33" s="220"/>
      <c r="D33" s="220">
        <v>5</v>
      </c>
      <c r="E33" s="221">
        <v>3.6</v>
      </c>
      <c r="F33" s="222">
        <v>0.72</v>
      </c>
    </row>
    <row r="34" spans="1:6" ht="15.75">
      <c r="A34" s="218">
        <v>167</v>
      </c>
      <c r="B34" s="219" t="s">
        <v>500</v>
      </c>
      <c r="C34" s="220">
        <v>2</v>
      </c>
      <c r="D34" s="220">
        <v>3</v>
      </c>
      <c r="E34" s="221">
        <v>3.8</v>
      </c>
      <c r="F34" s="222">
        <v>0.76</v>
      </c>
    </row>
    <row r="35" spans="1:6" ht="15.75">
      <c r="A35" s="218">
        <v>168</v>
      </c>
      <c r="B35" s="219" t="s">
        <v>501</v>
      </c>
      <c r="C35" s="220">
        <v>1</v>
      </c>
      <c r="D35" s="220">
        <v>5</v>
      </c>
      <c r="E35" s="221">
        <v>5</v>
      </c>
      <c r="F35" s="222">
        <v>0.83330000000000004</v>
      </c>
    </row>
    <row r="36" spans="1:6" ht="15.75">
      <c r="A36" s="218">
        <v>171</v>
      </c>
      <c r="B36" s="219" t="s">
        <v>502</v>
      </c>
      <c r="C36" s="220"/>
      <c r="D36" s="220">
        <v>6</v>
      </c>
      <c r="E36" s="221">
        <v>4.4000000000000004</v>
      </c>
      <c r="F36" s="222">
        <v>0.73329999999999995</v>
      </c>
    </row>
    <row r="37" spans="1:6" ht="15.75">
      <c r="A37" s="218">
        <v>173</v>
      </c>
      <c r="B37" s="219" t="s">
        <v>503</v>
      </c>
      <c r="C37" s="220"/>
      <c r="D37" s="220">
        <v>4</v>
      </c>
      <c r="E37" s="221">
        <v>3</v>
      </c>
      <c r="F37" s="222">
        <v>0.75</v>
      </c>
    </row>
    <row r="38" spans="1:6" ht="15.75">
      <c r="A38" s="218">
        <v>174</v>
      </c>
      <c r="B38" s="219" t="s">
        <v>504</v>
      </c>
      <c r="C38" s="220"/>
      <c r="D38" s="220">
        <v>1</v>
      </c>
      <c r="E38" s="221">
        <v>0.6</v>
      </c>
      <c r="F38" s="222">
        <v>0.6</v>
      </c>
    </row>
    <row r="39" spans="1:6" ht="15.75">
      <c r="A39" s="218">
        <v>175</v>
      </c>
      <c r="B39" s="219" t="s">
        <v>505</v>
      </c>
      <c r="C39" s="220"/>
      <c r="D39" s="220">
        <v>4</v>
      </c>
      <c r="E39" s="221">
        <v>3</v>
      </c>
      <c r="F39" s="222">
        <v>0.75</v>
      </c>
    </row>
    <row r="40" spans="1:6" ht="15.75">
      <c r="A40" s="218">
        <v>176</v>
      </c>
      <c r="B40" s="219" t="s">
        <v>506</v>
      </c>
      <c r="C40" s="220">
        <v>1</v>
      </c>
      <c r="D40" s="220">
        <v>4</v>
      </c>
      <c r="E40" s="221">
        <v>4.4000000000000004</v>
      </c>
      <c r="F40" s="222">
        <v>0.88</v>
      </c>
    </row>
    <row r="41" spans="1:6" ht="15.75">
      <c r="A41" s="218">
        <v>177</v>
      </c>
      <c r="B41" s="219" t="s">
        <v>507</v>
      </c>
      <c r="C41" s="220"/>
      <c r="D41" s="220">
        <v>3</v>
      </c>
      <c r="E41" s="221">
        <v>2</v>
      </c>
      <c r="F41" s="222">
        <v>0.66669999999999996</v>
      </c>
    </row>
    <row r="42" spans="1:6" ht="15.75">
      <c r="A42" s="218">
        <v>178</v>
      </c>
      <c r="B42" s="219" t="s">
        <v>508</v>
      </c>
      <c r="C42" s="220">
        <v>1</v>
      </c>
      <c r="D42" s="220">
        <v>4</v>
      </c>
      <c r="E42" s="221">
        <v>3.6</v>
      </c>
      <c r="F42" s="222">
        <v>0.72</v>
      </c>
    </row>
    <row r="43" spans="1:6" ht="15.75">
      <c r="A43" s="218">
        <v>182</v>
      </c>
      <c r="B43" s="219" t="s">
        <v>509</v>
      </c>
      <c r="C43" s="220"/>
      <c r="D43" s="220">
        <v>3</v>
      </c>
      <c r="E43" s="221">
        <v>2.2000000000000002</v>
      </c>
      <c r="F43" s="222">
        <v>0.73329999999999995</v>
      </c>
    </row>
    <row r="44" spans="1:6" ht="15.75">
      <c r="A44" s="218">
        <v>183</v>
      </c>
      <c r="B44" s="219" t="s">
        <v>510</v>
      </c>
      <c r="C44" s="220">
        <v>2</v>
      </c>
      <c r="D44" s="220">
        <v>3</v>
      </c>
      <c r="E44" s="221">
        <v>4.2</v>
      </c>
      <c r="F44" s="222">
        <v>0.84</v>
      </c>
    </row>
    <row r="45" spans="1:6" ht="15.75">
      <c r="A45" s="218">
        <v>184</v>
      </c>
      <c r="B45" s="219" t="s">
        <v>511</v>
      </c>
      <c r="C45" s="220"/>
      <c r="D45" s="220">
        <v>5</v>
      </c>
      <c r="E45" s="221">
        <v>3.4</v>
      </c>
      <c r="F45" s="222">
        <v>0.68</v>
      </c>
    </row>
    <row r="46" spans="1:6" ht="15.75">
      <c r="A46" s="218">
        <v>189</v>
      </c>
      <c r="B46" s="219" t="s">
        <v>512</v>
      </c>
      <c r="C46" s="220">
        <v>1</v>
      </c>
      <c r="D46" s="220">
        <v>3</v>
      </c>
      <c r="E46" s="221">
        <v>2.8</v>
      </c>
      <c r="F46" s="222">
        <v>0.7</v>
      </c>
    </row>
    <row r="47" spans="1:6" ht="15.75">
      <c r="A47" s="218">
        <v>192</v>
      </c>
      <c r="B47" s="219" t="s">
        <v>513</v>
      </c>
      <c r="C47" s="220"/>
      <c r="D47" s="220">
        <v>6</v>
      </c>
      <c r="E47" s="221">
        <v>3.8</v>
      </c>
      <c r="F47" s="222">
        <v>0.63329999999999997</v>
      </c>
    </row>
    <row r="48" spans="1:6" ht="15.75">
      <c r="A48" s="218">
        <v>196</v>
      </c>
      <c r="B48" s="219" t="s">
        <v>514</v>
      </c>
      <c r="C48" s="220">
        <v>1</v>
      </c>
      <c r="D48" s="220">
        <v>4</v>
      </c>
      <c r="E48" s="221">
        <v>3.6667000000000001</v>
      </c>
      <c r="F48" s="222">
        <v>0.73329999999999995</v>
      </c>
    </row>
    <row r="49" spans="1:6" ht="15.75">
      <c r="A49" s="218">
        <v>204</v>
      </c>
      <c r="B49" s="219" t="s">
        <v>515</v>
      </c>
      <c r="C49" s="220">
        <v>1</v>
      </c>
      <c r="D49" s="220">
        <v>5</v>
      </c>
      <c r="E49" s="221">
        <v>4.4000000000000004</v>
      </c>
      <c r="F49" s="222">
        <v>0.73329999999999995</v>
      </c>
    </row>
    <row r="50" spans="1:6" ht="15.75">
      <c r="A50" s="218">
        <v>209</v>
      </c>
      <c r="B50" s="219" t="s">
        <v>516</v>
      </c>
      <c r="C50" s="220">
        <v>1</v>
      </c>
      <c r="D50" s="220">
        <v>5</v>
      </c>
      <c r="E50" s="221">
        <v>4.4000000000000004</v>
      </c>
      <c r="F50" s="222">
        <v>0.73329999999999995</v>
      </c>
    </row>
    <row r="51" spans="1:6" ht="15.75">
      <c r="A51" s="218">
        <v>216</v>
      </c>
      <c r="B51" s="219" t="s">
        <v>517</v>
      </c>
      <c r="C51" s="220">
        <v>2</v>
      </c>
      <c r="D51" s="220">
        <v>5</v>
      </c>
      <c r="E51" s="221">
        <v>5</v>
      </c>
      <c r="F51" s="222">
        <v>0.71430000000000005</v>
      </c>
    </row>
    <row r="52" spans="1:6" ht="15.75">
      <c r="A52" s="218">
        <v>217</v>
      </c>
      <c r="B52" s="219" t="s">
        <v>518</v>
      </c>
      <c r="C52" s="220"/>
      <c r="D52" s="220">
        <v>2</v>
      </c>
      <c r="E52" s="221">
        <v>1.6</v>
      </c>
      <c r="F52" s="222">
        <v>0.8</v>
      </c>
    </row>
    <row r="53" spans="1:6" ht="15.75">
      <c r="A53" s="218">
        <v>250</v>
      </c>
      <c r="B53" s="219" t="s">
        <v>519</v>
      </c>
      <c r="C53" s="220">
        <v>1</v>
      </c>
      <c r="D53" s="220">
        <v>4</v>
      </c>
      <c r="E53" s="221">
        <v>4.5999999999999996</v>
      </c>
      <c r="F53" s="222">
        <v>0.92</v>
      </c>
    </row>
    <row r="54" spans="1:6" ht="15.75">
      <c r="A54" s="218">
        <v>251</v>
      </c>
      <c r="B54" s="219" t="s">
        <v>520</v>
      </c>
      <c r="C54" s="220"/>
      <c r="D54" s="220">
        <v>4</v>
      </c>
      <c r="E54" s="221">
        <v>3</v>
      </c>
      <c r="F54" s="222">
        <v>0.75</v>
      </c>
    </row>
    <row r="55" spans="1:6" ht="15.75">
      <c r="A55" s="218">
        <v>257</v>
      </c>
      <c r="B55" s="219" t="s">
        <v>521</v>
      </c>
      <c r="C55" s="220">
        <v>1</v>
      </c>
      <c r="D55" s="220">
        <v>4</v>
      </c>
      <c r="E55" s="221">
        <v>4</v>
      </c>
      <c r="F55" s="222">
        <v>0.8</v>
      </c>
    </row>
    <row r="56" spans="1:6" ht="15.75">
      <c r="A56" s="218">
        <v>258</v>
      </c>
      <c r="B56" s="219" t="s">
        <v>522</v>
      </c>
      <c r="C56" s="220"/>
      <c r="D56" s="220">
        <v>2</v>
      </c>
      <c r="E56" s="221">
        <v>1.8</v>
      </c>
      <c r="F56" s="222">
        <v>0.9</v>
      </c>
    </row>
    <row r="57" spans="1:6" ht="15.75">
      <c r="A57" s="218">
        <v>259</v>
      </c>
      <c r="B57" s="219" t="s">
        <v>523</v>
      </c>
      <c r="C57" s="220"/>
      <c r="D57" s="220">
        <v>2</v>
      </c>
      <c r="E57" s="221">
        <v>2</v>
      </c>
      <c r="F57" s="222">
        <v>1</v>
      </c>
    </row>
    <row r="58" spans="1:6" ht="15.75">
      <c r="A58" s="218">
        <v>265</v>
      </c>
      <c r="B58" s="219" t="s">
        <v>524</v>
      </c>
      <c r="C58" s="220"/>
      <c r="D58" s="220">
        <v>2</v>
      </c>
      <c r="E58" s="221">
        <v>1.2</v>
      </c>
      <c r="F58" s="222">
        <v>0.6</v>
      </c>
    </row>
    <row r="59" spans="1:6" ht="15.75">
      <c r="A59" s="218">
        <v>269</v>
      </c>
      <c r="B59" s="219" t="s">
        <v>525</v>
      </c>
      <c r="C59" s="220"/>
      <c r="D59" s="220">
        <v>3</v>
      </c>
      <c r="E59" s="221">
        <v>2.2000000000000002</v>
      </c>
      <c r="F59" s="222">
        <v>0.73329999999999995</v>
      </c>
    </row>
    <row r="60" spans="1:6" ht="15.75">
      <c r="A60" s="218">
        <v>270</v>
      </c>
      <c r="B60" s="219" t="s">
        <v>526</v>
      </c>
      <c r="C60" s="220">
        <v>2</v>
      </c>
      <c r="D60" s="220">
        <v>2</v>
      </c>
      <c r="E60" s="221">
        <v>3.0667</v>
      </c>
      <c r="F60" s="222">
        <v>0.76670000000000005</v>
      </c>
    </row>
    <row r="61" spans="1:6" ht="15.75">
      <c r="A61" s="218">
        <v>272</v>
      </c>
      <c r="B61" s="219" t="s">
        <v>527</v>
      </c>
      <c r="C61" s="220"/>
      <c r="D61" s="220">
        <v>2</v>
      </c>
      <c r="E61" s="221">
        <v>1.2</v>
      </c>
      <c r="F61" s="222">
        <v>0.6</v>
      </c>
    </row>
    <row r="62" spans="1:6" ht="15.75">
      <c r="A62" s="218">
        <v>275</v>
      </c>
      <c r="B62" s="219" t="s">
        <v>528</v>
      </c>
      <c r="C62" s="220">
        <v>1</v>
      </c>
      <c r="D62" s="220">
        <v>1</v>
      </c>
      <c r="E62" s="221">
        <v>1.6</v>
      </c>
      <c r="F62" s="222">
        <v>0.8</v>
      </c>
    </row>
    <row r="63" spans="1:6" ht="15.75">
      <c r="A63" s="218">
        <v>276</v>
      </c>
      <c r="B63" s="219" t="s">
        <v>529</v>
      </c>
      <c r="C63" s="220">
        <v>1</v>
      </c>
      <c r="D63" s="220">
        <v>4</v>
      </c>
      <c r="E63" s="221">
        <v>3.4</v>
      </c>
      <c r="F63" s="222">
        <v>0.68</v>
      </c>
    </row>
    <row r="64" spans="1:6" ht="15.75">
      <c r="A64" s="218">
        <v>278</v>
      </c>
      <c r="B64" s="219" t="s">
        <v>530</v>
      </c>
      <c r="C64" s="220"/>
      <c r="D64" s="220">
        <v>2</v>
      </c>
      <c r="E64" s="221">
        <v>1.6</v>
      </c>
      <c r="F64" s="222">
        <v>0.8</v>
      </c>
    </row>
    <row r="65" spans="1:6" ht="15.75">
      <c r="A65" s="218">
        <v>280</v>
      </c>
      <c r="B65" s="219" t="s">
        <v>531</v>
      </c>
      <c r="C65" s="220"/>
      <c r="D65" s="220">
        <v>1</v>
      </c>
      <c r="E65" s="221">
        <v>0.6</v>
      </c>
      <c r="F65" s="222">
        <v>0.6</v>
      </c>
    </row>
    <row r="66" spans="1:6" ht="15.75">
      <c r="A66" s="218">
        <v>283</v>
      </c>
      <c r="B66" s="219" t="s">
        <v>532</v>
      </c>
      <c r="C66" s="220">
        <v>3</v>
      </c>
      <c r="D66" s="220">
        <v>1</v>
      </c>
      <c r="E66" s="221">
        <v>3.2667000000000002</v>
      </c>
      <c r="F66" s="222">
        <v>0.81669999999999998</v>
      </c>
    </row>
    <row r="67" spans="1:6" ht="15.75">
      <c r="A67" s="218">
        <v>284</v>
      </c>
      <c r="B67" s="219" t="s">
        <v>533</v>
      </c>
      <c r="C67" s="220">
        <v>1</v>
      </c>
      <c r="D67" s="220">
        <v>2</v>
      </c>
      <c r="E67" s="221">
        <v>2.2000000000000002</v>
      </c>
      <c r="F67" s="222">
        <v>0.73329999999999995</v>
      </c>
    </row>
    <row r="68" spans="1:6" ht="15.75">
      <c r="A68" s="218">
        <v>286</v>
      </c>
      <c r="B68" s="219" t="s">
        <v>534</v>
      </c>
      <c r="C68" s="220"/>
      <c r="D68" s="220">
        <v>2</v>
      </c>
      <c r="E68" s="221">
        <v>1.4</v>
      </c>
      <c r="F68" s="222">
        <v>0.7</v>
      </c>
    </row>
    <row r="69" spans="1:6" ht="15.75">
      <c r="A69" s="218">
        <v>288</v>
      </c>
      <c r="B69" s="219" t="s">
        <v>535</v>
      </c>
      <c r="C69" s="220">
        <v>1</v>
      </c>
      <c r="D69" s="220">
        <v>2</v>
      </c>
      <c r="E69" s="221">
        <v>2.2000000000000002</v>
      </c>
      <c r="F69" s="222">
        <v>0.73329999999999995</v>
      </c>
    </row>
    <row r="70" spans="1:6" ht="15.75">
      <c r="A70" s="218">
        <v>290</v>
      </c>
      <c r="B70" s="219" t="s">
        <v>536</v>
      </c>
      <c r="C70" s="220">
        <v>1</v>
      </c>
      <c r="D70" s="220">
        <v>1</v>
      </c>
      <c r="E70" s="221">
        <v>1.6</v>
      </c>
      <c r="F70" s="222">
        <v>0.8</v>
      </c>
    </row>
    <row r="71" spans="1:6" ht="15.75">
      <c r="A71" s="218">
        <v>291</v>
      </c>
      <c r="B71" s="219" t="s">
        <v>537</v>
      </c>
      <c r="C71" s="220">
        <v>1</v>
      </c>
      <c r="D71" s="220">
        <v>1</v>
      </c>
      <c r="E71" s="221">
        <v>1.2666999999999999</v>
      </c>
      <c r="F71" s="222">
        <v>0.63339999999999996</v>
      </c>
    </row>
    <row r="72" spans="1:6" ht="15.75">
      <c r="A72" s="218">
        <v>292</v>
      </c>
      <c r="B72" s="219" t="s">
        <v>538</v>
      </c>
      <c r="C72" s="220"/>
      <c r="D72" s="220">
        <v>2</v>
      </c>
      <c r="E72" s="221">
        <v>1</v>
      </c>
      <c r="F72" s="222">
        <v>0.5</v>
      </c>
    </row>
    <row r="73" spans="1:6" ht="15.75">
      <c r="A73" s="218">
        <v>294</v>
      </c>
      <c r="B73" s="219" t="s">
        <v>539</v>
      </c>
      <c r="C73" s="220">
        <v>1</v>
      </c>
      <c r="D73" s="220">
        <v>1</v>
      </c>
      <c r="E73" s="221">
        <v>1.6</v>
      </c>
      <c r="F73" s="222">
        <v>0.8</v>
      </c>
    </row>
    <row r="74" spans="1:6" ht="15.75">
      <c r="A74" s="218">
        <v>296</v>
      </c>
      <c r="B74" s="219" t="s">
        <v>540</v>
      </c>
      <c r="C74" s="220">
        <v>1</v>
      </c>
      <c r="D74" s="220">
        <v>1</v>
      </c>
      <c r="E74" s="221">
        <v>1.6</v>
      </c>
      <c r="F74" s="222">
        <v>0.8</v>
      </c>
    </row>
    <row r="75" spans="1:6" ht="15.75">
      <c r="A75" s="218">
        <v>297</v>
      </c>
      <c r="B75" s="223" t="s">
        <v>541</v>
      </c>
      <c r="C75" s="220">
        <v>1</v>
      </c>
      <c r="D75" s="220"/>
      <c r="E75" s="221">
        <v>1</v>
      </c>
      <c r="F75" s="222">
        <v>1</v>
      </c>
    </row>
    <row r="76" spans="1:6" ht="15.75">
      <c r="A76" s="218">
        <v>298</v>
      </c>
      <c r="B76" s="219" t="s">
        <v>542</v>
      </c>
      <c r="C76" s="220">
        <v>1</v>
      </c>
      <c r="D76" s="220"/>
      <c r="E76" s="221">
        <v>1</v>
      </c>
      <c r="F76" s="222">
        <v>1</v>
      </c>
    </row>
  </sheetData>
  <autoFilter ref="A2:F2" xr:uid="{ECC9DFA4-B328-4D9A-B968-549626DF71DD}"/>
  <mergeCells count="1">
    <mergeCell ref="A1:F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0B407-F05E-42F3-A454-72A745691111}">
  <sheetPr>
    <tabColor rgb="FF0070C0"/>
  </sheetPr>
  <dimension ref="A1:D81"/>
  <sheetViews>
    <sheetView showGridLines="0" zoomScale="130" zoomScaleNormal="130" workbookViewId="0">
      <selection activeCell="J5" sqref="J5"/>
    </sheetView>
  </sheetViews>
  <sheetFormatPr defaultRowHeight="15"/>
  <cols>
    <col min="2" max="2" width="19.28515625" bestFit="1" customWidth="1"/>
    <col min="3" max="3" width="18.42578125" customWidth="1"/>
    <col min="4" max="4" width="9.85546875" customWidth="1"/>
  </cols>
  <sheetData>
    <row r="1" spans="1:4" ht="33.75" customHeight="1">
      <c r="A1" s="615" t="s">
        <v>653</v>
      </c>
      <c r="B1" s="616"/>
      <c r="C1" s="616"/>
      <c r="D1" s="616"/>
    </row>
    <row r="2" spans="1:4" s="120" customFormat="1" ht="22.5">
      <c r="A2" s="612" t="s">
        <v>0</v>
      </c>
      <c r="B2" s="612" t="s">
        <v>1</v>
      </c>
      <c r="C2" s="613" t="s">
        <v>546</v>
      </c>
      <c r="D2" s="614" t="s">
        <v>568</v>
      </c>
    </row>
    <row r="3" spans="1:4">
      <c r="A3" s="15">
        <v>2</v>
      </c>
      <c r="B3" s="14" t="s">
        <v>469</v>
      </c>
      <c r="C3" s="19">
        <v>5.3867000000000003</v>
      </c>
      <c r="D3" s="19">
        <f>IF(C3&gt;=7,100%,IF(C3&gt;=6,90%,IF(C3&gt;=5,80%,IF(C3&gt;=4,70%,IF(C3&gt;=3,60%,IF(C3&gt;=2,50%,0))))))</f>
        <v>0.8</v>
      </c>
    </row>
    <row r="4" spans="1:4">
      <c r="A4" s="15">
        <v>3</v>
      </c>
      <c r="B4" s="14" t="s">
        <v>470</v>
      </c>
      <c r="C4" s="19">
        <v>5.9893999999999998</v>
      </c>
      <c r="D4" s="19">
        <f t="shared" ref="D4:D67" si="0">IF(C4&gt;=7,100%,IF(C4&gt;=6,90%,IF(C4&gt;=5,80%,IF(C4&gt;=4,70%,IF(C4&gt;=3,60%,IF(C4&gt;=2,50%,0))))))</f>
        <v>0.8</v>
      </c>
    </row>
    <row r="5" spans="1:4">
      <c r="A5" s="15">
        <v>4</v>
      </c>
      <c r="B5" s="14" t="s">
        <v>471</v>
      </c>
      <c r="C5" s="19">
        <v>6.8330000000000002</v>
      </c>
      <c r="D5" s="19">
        <f t="shared" si="0"/>
        <v>0.9</v>
      </c>
    </row>
    <row r="6" spans="1:4">
      <c r="A6" s="15">
        <v>5</v>
      </c>
      <c r="B6" s="14" t="s">
        <v>472</v>
      </c>
      <c r="C6" s="19">
        <v>6.8802000000000003</v>
      </c>
      <c r="D6" s="19">
        <f t="shared" si="0"/>
        <v>0.9</v>
      </c>
    </row>
    <row r="7" spans="1:4">
      <c r="A7" s="15">
        <v>20</v>
      </c>
      <c r="B7" s="14" t="s">
        <v>473</v>
      </c>
      <c r="C7" s="19">
        <v>6.218</v>
      </c>
      <c r="D7" s="19">
        <f t="shared" si="0"/>
        <v>0.9</v>
      </c>
    </row>
    <row r="8" spans="1:4">
      <c r="A8" s="15">
        <v>21</v>
      </c>
      <c r="B8" s="14" t="s">
        <v>474</v>
      </c>
      <c r="C8" s="19">
        <v>6.2256</v>
      </c>
      <c r="D8" s="19">
        <f t="shared" si="0"/>
        <v>0.9</v>
      </c>
    </row>
    <row r="9" spans="1:4">
      <c r="A9" s="15">
        <v>22</v>
      </c>
      <c r="B9" s="14" t="s">
        <v>475</v>
      </c>
      <c r="C9" s="19">
        <v>6.4279999999999999</v>
      </c>
      <c r="D9" s="19">
        <f t="shared" si="0"/>
        <v>0.9</v>
      </c>
    </row>
    <row r="10" spans="1:4">
      <c r="A10" s="15">
        <v>105</v>
      </c>
      <c r="B10" s="14" t="s">
        <v>476</v>
      </c>
      <c r="C10" s="19">
        <v>6.5212000000000003</v>
      </c>
      <c r="D10" s="19">
        <f t="shared" si="0"/>
        <v>0.9</v>
      </c>
    </row>
    <row r="11" spans="1:4">
      <c r="A11" s="15">
        <v>106</v>
      </c>
      <c r="B11" s="14" t="s">
        <v>477</v>
      </c>
      <c r="C11" s="19">
        <v>6.35</v>
      </c>
      <c r="D11" s="19">
        <f t="shared" si="0"/>
        <v>0.9</v>
      </c>
    </row>
    <row r="12" spans="1:4">
      <c r="A12" s="15">
        <v>109</v>
      </c>
      <c r="B12" s="14" t="s">
        <v>478</v>
      </c>
      <c r="C12" s="19">
        <v>6.1624999999999996</v>
      </c>
      <c r="D12" s="19">
        <f t="shared" si="0"/>
        <v>0.9</v>
      </c>
    </row>
    <row r="13" spans="1:4">
      <c r="A13" s="15">
        <v>111</v>
      </c>
      <c r="B13" s="14" t="s">
        <v>479</v>
      </c>
      <c r="C13" s="19">
        <v>6.4717000000000002</v>
      </c>
      <c r="D13" s="19">
        <f t="shared" si="0"/>
        <v>0.9</v>
      </c>
    </row>
    <row r="14" spans="1:4">
      <c r="A14" s="15">
        <v>112</v>
      </c>
      <c r="B14" s="14" t="s">
        <v>480</v>
      </c>
      <c r="C14" s="19">
        <v>5.9432999999999998</v>
      </c>
      <c r="D14" s="19">
        <f t="shared" si="0"/>
        <v>0.8</v>
      </c>
    </row>
    <row r="15" spans="1:4">
      <c r="A15" s="15">
        <v>113</v>
      </c>
      <c r="B15" s="14" t="s">
        <v>481</v>
      </c>
      <c r="C15" s="19">
        <v>6.6707000000000001</v>
      </c>
      <c r="D15" s="19">
        <f t="shared" si="0"/>
        <v>0.9</v>
      </c>
    </row>
    <row r="16" spans="1:4">
      <c r="A16" s="15">
        <v>114</v>
      </c>
      <c r="B16" s="14" t="s">
        <v>482</v>
      </c>
      <c r="C16" s="19">
        <v>6.6349999999999998</v>
      </c>
      <c r="D16" s="19">
        <f t="shared" si="0"/>
        <v>0.9</v>
      </c>
    </row>
    <row r="17" spans="1:4">
      <c r="A17" s="15">
        <v>119</v>
      </c>
      <c r="B17" s="14" t="s">
        <v>483</v>
      </c>
      <c r="C17" s="19">
        <v>6.4574999999999996</v>
      </c>
      <c r="D17" s="19">
        <f t="shared" si="0"/>
        <v>0.9</v>
      </c>
    </row>
    <row r="18" spans="1:4">
      <c r="A18" s="15">
        <v>120</v>
      </c>
      <c r="B18" s="14" t="s">
        <v>484</v>
      </c>
      <c r="C18" s="19">
        <v>6.2058</v>
      </c>
      <c r="D18" s="19">
        <f t="shared" si="0"/>
        <v>0.9</v>
      </c>
    </row>
    <row r="19" spans="1:4">
      <c r="A19" s="15">
        <v>121</v>
      </c>
      <c r="B19" s="14" t="s">
        <v>485</v>
      </c>
      <c r="C19" s="19">
        <v>6.5218999999999996</v>
      </c>
      <c r="D19" s="19">
        <f t="shared" si="0"/>
        <v>0.9</v>
      </c>
    </row>
    <row r="20" spans="1:4">
      <c r="A20" s="15">
        <v>126</v>
      </c>
      <c r="B20" s="14" t="s">
        <v>486</v>
      </c>
      <c r="C20" s="19">
        <v>6.5407999999999999</v>
      </c>
      <c r="D20" s="19">
        <f t="shared" si="0"/>
        <v>0.9</v>
      </c>
    </row>
    <row r="21" spans="1:4">
      <c r="A21" s="15">
        <v>127</v>
      </c>
      <c r="B21" s="14" t="s">
        <v>487</v>
      </c>
      <c r="C21" s="19">
        <v>6.3399000000000001</v>
      </c>
      <c r="D21" s="19">
        <f t="shared" si="0"/>
        <v>0.9</v>
      </c>
    </row>
    <row r="22" spans="1:4">
      <c r="A22" s="15">
        <v>129</v>
      </c>
      <c r="B22" s="14" t="s">
        <v>488</v>
      </c>
      <c r="C22" s="19">
        <v>6.4295</v>
      </c>
      <c r="D22" s="19">
        <f t="shared" si="0"/>
        <v>0.9</v>
      </c>
    </row>
    <row r="23" spans="1:4">
      <c r="A23" s="15">
        <v>130</v>
      </c>
      <c r="B23" s="14" t="s">
        <v>489</v>
      </c>
      <c r="C23" s="19">
        <v>6.2534000000000001</v>
      </c>
      <c r="D23" s="19">
        <f t="shared" si="0"/>
        <v>0.9</v>
      </c>
    </row>
    <row r="24" spans="1:4">
      <c r="A24" s="15">
        <v>131</v>
      </c>
      <c r="B24" s="14" t="s">
        <v>490</v>
      </c>
      <c r="C24" s="19">
        <v>6.0495000000000001</v>
      </c>
      <c r="D24" s="19">
        <f t="shared" si="0"/>
        <v>0.9</v>
      </c>
    </row>
    <row r="25" spans="1:4">
      <c r="A25" s="15">
        <v>132</v>
      </c>
      <c r="B25" s="14" t="s">
        <v>491</v>
      </c>
      <c r="C25" s="19">
        <v>6.6200999999999999</v>
      </c>
      <c r="D25" s="19">
        <f t="shared" si="0"/>
        <v>0.9</v>
      </c>
    </row>
    <row r="26" spans="1:4">
      <c r="A26" s="15">
        <v>133</v>
      </c>
      <c r="B26" s="14" t="s">
        <v>492</v>
      </c>
      <c r="C26" s="19">
        <v>6.0545999999999998</v>
      </c>
      <c r="D26" s="19">
        <f t="shared" si="0"/>
        <v>0.9</v>
      </c>
    </row>
    <row r="27" spans="1:4">
      <c r="A27" s="15">
        <v>137</v>
      </c>
      <c r="B27" s="14" t="s">
        <v>493</v>
      </c>
      <c r="C27" s="19">
        <v>5.5735999999999999</v>
      </c>
      <c r="D27" s="19">
        <f t="shared" si="0"/>
        <v>0.8</v>
      </c>
    </row>
    <row r="28" spans="1:4">
      <c r="A28" s="15">
        <v>143</v>
      </c>
      <c r="B28" s="14" t="s">
        <v>494</v>
      </c>
      <c r="C28" s="19">
        <v>6.3312999999999997</v>
      </c>
      <c r="D28" s="19">
        <f t="shared" si="0"/>
        <v>0.9</v>
      </c>
    </row>
    <row r="29" spans="1:4">
      <c r="A29" s="15">
        <v>146</v>
      </c>
      <c r="B29" s="14" t="s">
        <v>495</v>
      </c>
      <c r="C29" s="19">
        <v>6.4878999999999998</v>
      </c>
      <c r="D29" s="19">
        <f t="shared" si="0"/>
        <v>0.9</v>
      </c>
    </row>
    <row r="30" spans="1:4">
      <c r="A30" s="15">
        <v>155</v>
      </c>
      <c r="B30" s="14" t="s">
        <v>496</v>
      </c>
      <c r="C30" s="19">
        <v>5.9238</v>
      </c>
      <c r="D30" s="19">
        <f t="shared" si="0"/>
        <v>0.8</v>
      </c>
    </row>
    <row r="31" spans="1:4">
      <c r="A31" s="15">
        <v>157</v>
      </c>
      <c r="B31" s="14" t="s">
        <v>497</v>
      </c>
      <c r="C31" s="19">
        <v>6.7018000000000004</v>
      </c>
      <c r="D31" s="19">
        <f t="shared" si="0"/>
        <v>0.9</v>
      </c>
    </row>
    <row r="32" spans="1:4">
      <c r="A32" s="15">
        <v>160</v>
      </c>
      <c r="B32" s="14" t="s">
        <v>498</v>
      </c>
      <c r="C32" s="19">
        <v>5.19</v>
      </c>
      <c r="D32" s="19">
        <f t="shared" si="0"/>
        <v>0.8</v>
      </c>
    </row>
    <row r="33" spans="1:4">
      <c r="A33" s="15">
        <v>163</v>
      </c>
      <c r="B33" s="14" t="s">
        <v>499</v>
      </c>
      <c r="C33" s="19">
        <v>6.1689999999999996</v>
      </c>
      <c r="D33" s="19">
        <f t="shared" si="0"/>
        <v>0.9</v>
      </c>
    </row>
    <row r="34" spans="1:4">
      <c r="A34" s="15">
        <v>167</v>
      </c>
      <c r="B34" s="14" t="s">
        <v>500</v>
      </c>
      <c r="C34" s="19">
        <v>6.5471000000000004</v>
      </c>
      <c r="D34" s="19">
        <f t="shared" si="0"/>
        <v>0.9</v>
      </c>
    </row>
    <row r="35" spans="1:4">
      <c r="A35" s="15">
        <v>168</v>
      </c>
      <c r="B35" s="14" t="s">
        <v>501</v>
      </c>
      <c r="C35" s="19">
        <v>6.7076000000000002</v>
      </c>
      <c r="D35" s="19">
        <f t="shared" si="0"/>
        <v>0.9</v>
      </c>
    </row>
    <row r="36" spans="1:4">
      <c r="A36" s="15">
        <v>171</v>
      </c>
      <c r="B36" s="14" t="s">
        <v>502</v>
      </c>
      <c r="C36" s="19">
        <v>6.4558999999999997</v>
      </c>
      <c r="D36" s="19">
        <f t="shared" si="0"/>
        <v>0.9</v>
      </c>
    </row>
    <row r="37" spans="1:4">
      <c r="A37" s="15">
        <v>173</v>
      </c>
      <c r="B37" s="14" t="s">
        <v>503</v>
      </c>
      <c r="C37" s="19">
        <v>5.9410999999999996</v>
      </c>
      <c r="D37" s="19">
        <f t="shared" si="0"/>
        <v>0.8</v>
      </c>
    </row>
    <row r="38" spans="1:4">
      <c r="A38" s="15">
        <v>174</v>
      </c>
      <c r="B38" s="14" t="s">
        <v>504</v>
      </c>
      <c r="C38" s="19">
        <v>5.2689000000000004</v>
      </c>
      <c r="D38" s="19">
        <f t="shared" si="0"/>
        <v>0.8</v>
      </c>
    </row>
    <row r="39" spans="1:4">
      <c r="A39" s="15">
        <v>175</v>
      </c>
      <c r="B39" s="14" t="s">
        <v>505</v>
      </c>
      <c r="C39" s="19">
        <v>6.3017000000000003</v>
      </c>
      <c r="D39" s="19">
        <f t="shared" si="0"/>
        <v>0.9</v>
      </c>
    </row>
    <row r="40" spans="1:4">
      <c r="A40" s="15">
        <v>176</v>
      </c>
      <c r="B40" s="14" t="s">
        <v>506</v>
      </c>
      <c r="C40" s="19">
        <v>5.7176</v>
      </c>
      <c r="D40" s="19">
        <f t="shared" si="0"/>
        <v>0.8</v>
      </c>
    </row>
    <row r="41" spans="1:4">
      <c r="A41" s="15">
        <v>177</v>
      </c>
      <c r="B41" s="14" t="s">
        <v>507</v>
      </c>
      <c r="C41" s="19">
        <v>6.0884999999999998</v>
      </c>
      <c r="D41" s="19">
        <f t="shared" si="0"/>
        <v>0.9</v>
      </c>
    </row>
    <row r="42" spans="1:4">
      <c r="A42" s="15">
        <v>178</v>
      </c>
      <c r="B42" s="14" t="s">
        <v>508</v>
      </c>
      <c r="C42" s="19">
        <v>6.5518000000000001</v>
      </c>
      <c r="D42" s="19">
        <f t="shared" si="0"/>
        <v>0.9</v>
      </c>
    </row>
    <row r="43" spans="1:4">
      <c r="A43" s="15">
        <v>182</v>
      </c>
      <c r="B43" s="14" t="s">
        <v>509</v>
      </c>
      <c r="C43" s="19">
        <v>7.0187999999999997</v>
      </c>
      <c r="D43" s="19">
        <f t="shared" si="0"/>
        <v>1</v>
      </c>
    </row>
    <row r="44" spans="1:4">
      <c r="A44" s="15">
        <v>183</v>
      </c>
      <c r="B44" s="14" t="s">
        <v>510</v>
      </c>
      <c r="C44" s="19">
        <v>6.3208000000000002</v>
      </c>
      <c r="D44" s="19">
        <f t="shared" si="0"/>
        <v>0.9</v>
      </c>
    </row>
    <row r="45" spans="1:4">
      <c r="A45" s="15">
        <v>184</v>
      </c>
      <c r="B45" s="14" t="s">
        <v>511</v>
      </c>
      <c r="C45" s="19">
        <v>6.3703000000000003</v>
      </c>
      <c r="D45" s="19">
        <f t="shared" si="0"/>
        <v>0.9</v>
      </c>
    </row>
    <row r="46" spans="1:4">
      <c r="A46" s="15">
        <v>189</v>
      </c>
      <c r="B46" s="14" t="s">
        <v>512</v>
      </c>
      <c r="C46" s="19">
        <v>5.7850000000000001</v>
      </c>
      <c r="D46" s="19">
        <f t="shared" si="0"/>
        <v>0.8</v>
      </c>
    </row>
    <row r="47" spans="1:4">
      <c r="A47" s="15">
        <v>192</v>
      </c>
      <c r="B47" s="14" t="s">
        <v>513</v>
      </c>
      <c r="C47" s="19">
        <v>6.2060000000000004</v>
      </c>
      <c r="D47" s="19">
        <f t="shared" si="0"/>
        <v>0.9</v>
      </c>
    </row>
    <row r="48" spans="1:4">
      <c r="A48" s="15">
        <v>196</v>
      </c>
      <c r="B48" s="14" t="s">
        <v>514</v>
      </c>
      <c r="C48" s="19">
        <v>6.2068000000000003</v>
      </c>
      <c r="D48" s="19">
        <f t="shared" si="0"/>
        <v>0.9</v>
      </c>
    </row>
    <row r="49" spans="1:4">
      <c r="A49" s="15">
        <v>204</v>
      </c>
      <c r="B49" s="14" t="s">
        <v>515</v>
      </c>
      <c r="C49" s="19">
        <v>6.7415000000000003</v>
      </c>
      <c r="D49" s="19">
        <f t="shared" si="0"/>
        <v>0.9</v>
      </c>
    </row>
    <row r="50" spans="1:4">
      <c r="A50" s="15">
        <v>209</v>
      </c>
      <c r="B50" s="14" t="s">
        <v>516</v>
      </c>
      <c r="C50" s="19">
        <v>6.8815999999999997</v>
      </c>
      <c r="D50" s="19">
        <f t="shared" si="0"/>
        <v>0.9</v>
      </c>
    </row>
    <row r="51" spans="1:4">
      <c r="A51" s="15">
        <v>216</v>
      </c>
      <c r="B51" s="14" t="s">
        <v>517</v>
      </c>
      <c r="C51" s="19">
        <v>5.8483000000000001</v>
      </c>
      <c r="D51" s="19">
        <f t="shared" si="0"/>
        <v>0.8</v>
      </c>
    </row>
    <row r="52" spans="1:4">
      <c r="A52" s="15">
        <v>217</v>
      </c>
      <c r="B52" s="14" t="s">
        <v>518</v>
      </c>
      <c r="C52" s="19">
        <v>6.3841999999999999</v>
      </c>
      <c r="D52" s="19">
        <f t="shared" si="0"/>
        <v>0.9</v>
      </c>
    </row>
    <row r="53" spans="1:4">
      <c r="A53" s="15">
        <v>250</v>
      </c>
      <c r="B53" s="14" t="s">
        <v>519</v>
      </c>
      <c r="C53" s="19">
        <v>5.5709</v>
      </c>
      <c r="D53" s="19">
        <f t="shared" si="0"/>
        <v>0.8</v>
      </c>
    </row>
    <row r="54" spans="1:4">
      <c r="A54" s="15">
        <v>251</v>
      </c>
      <c r="B54" s="14" t="s">
        <v>520</v>
      </c>
      <c r="C54" s="19">
        <v>6.5465999999999998</v>
      </c>
      <c r="D54" s="19">
        <f t="shared" si="0"/>
        <v>0.9</v>
      </c>
    </row>
    <row r="55" spans="1:4">
      <c r="A55" s="15">
        <v>257</v>
      </c>
      <c r="B55" s="14" t="s">
        <v>521</v>
      </c>
      <c r="C55" s="19">
        <v>5.4508000000000001</v>
      </c>
      <c r="D55" s="19">
        <f t="shared" si="0"/>
        <v>0.8</v>
      </c>
    </row>
    <row r="56" spans="1:4">
      <c r="A56" s="15">
        <v>258</v>
      </c>
      <c r="B56" s="14" t="s">
        <v>522</v>
      </c>
      <c r="C56" s="19">
        <v>6.2587999999999999</v>
      </c>
      <c r="D56" s="19">
        <f t="shared" si="0"/>
        <v>0.9</v>
      </c>
    </row>
    <row r="57" spans="1:4">
      <c r="A57" s="15">
        <v>259</v>
      </c>
      <c r="B57" s="14" t="s">
        <v>523</v>
      </c>
      <c r="C57" s="19">
        <v>5.7731000000000003</v>
      </c>
      <c r="D57" s="19">
        <f t="shared" si="0"/>
        <v>0.8</v>
      </c>
    </row>
    <row r="58" spans="1:4">
      <c r="A58" s="15">
        <v>265</v>
      </c>
      <c r="B58" s="14" t="s">
        <v>524</v>
      </c>
      <c r="C58" s="19">
        <v>6.375</v>
      </c>
      <c r="D58" s="19">
        <f t="shared" si="0"/>
        <v>0.9</v>
      </c>
    </row>
    <row r="59" spans="1:4">
      <c r="A59" s="15">
        <v>269</v>
      </c>
      <c r="B59" s="14" t="s">
        <v>525</v>
      </c>
      <c r="C59" s="19">
        <v>7.3352000000000004</v>
      </c>
      <c r="D59" s="19">
        <f t="shared" si="0"/>
        <v>1</v>
      </c>
    </row>
    <row r="60" spans="1:4">
      <c r="A60" s="15">
        <v>270</v>
      </c>
      <c r="B60" s="14" t="s">
        <v>526</v>
      </c>
      <c r="C60" s="19">
        <v>6.4843000000000002</v>
      </c>
      <c r="D60" s="19">
        <f t="shared" si="0"/>
        <v>0.9</v>
      </c>
    </row>
    <row r="61" spans="1:4">
      <c r="A61" s="15">
        <v>272</v>
      </c>
      <c r="B61" s="14" t="s">
        <v>527</v>
      </c>
      <c r="C61" s="19">
        <v>7.1722000000000001</v>
      </c>
      <c r="D61" s="19">
        <f t="shared" si="0"/>
        <v>1</v>
      </c>
    </row>
    <row r="62" spans="1:4">
      <c r="A62" s="15">
        <v>275</v>
      </c>
      <c r="B62" s="14" t="s">
        <v>528</v>
      </c>
      <c r="C62" s="19">
        <v>7.1033999999999997</v>
      </c>
      <c r="D62" s="19">
        <f t="shared" si="0"/>
        <v>1</v>
      </c>
    </row>
    <row r="63" spans="1:4">
      <c r="A63" s="15">
        <v>276</v>
      </c>
      <c r="B63" s="14" t="s">
        <v>529</v>
      </c>
      <c r="C63" s="19">
        <v>6.6082000000000001</v>
      </c>
      <c r="D63" s="19">
        <f t="shared" si="0"/>
        <v>0.9</v>
      </c>
    </row>
    <row r="64" spans="1:4">
      <c r="A64" s="15">
        <v>278</v>
      </c>
      <c r="B64" s="14" t="s">
        <v>530</v>
      </c>
      <c r="C64" s="19">
        <v>6.9928999999999997</v>
      </c>
      <c r="D64" s="19">
        <f t="shared" si="0"/>
        <v>0.9</v>
      </c>
    </row>
    <row r="65" spans="1:4">
      <c r="A65" s="15">
        <v>280</v>
      </c>
      <c r="B65" s="14" t="s">
        <v>531</v>
      </c>
      <c r="C65" s="19">
        <v>6.4263000000000003</v>
      </c>
      <c r="D65" s="19">
        <f t="shared" si="0"/>
        <v>0.9</v>
      </c>
    </row>
    <row r="66" spans="1:4">
      <c r="A66" s="15">
        <v>283</v>
      </c>
      <c r="B66" s="14" t="s">
        <v>532</v>
      </c>
      <c r="C66" s="19">
        <v>7.1954000000000002</v>
      </c>
      <c r="D66" s="19">
        <f t="shared" si="0"/>
        <v>1</v>
      </c>
    </row>
    <row r="67" spans="1:4">
      <c r="A67" s="15">
        <v>284</v>
      </c>
      <c r="B67" s="14" t="s">
        <v>533</v>
      </c>
      <c r="C67" s="19">
        <v>6.9469000000000003</v>
      </c>
      <c r="D67" s="19">
        <f t="shared" si="0"/>
        <v>0.9</v>
      </c>
    </row>
    <row r="68" spans="1:4">
      <c r="A68" s="15">
        <v>286</v>
      </c>
      <c r="B68" s="14" t="s">
        <v>534</v>
      </c>
      <c r="C68" s="19">
        <v>6.1501000000000001</v>
      </c>
      <c r="D68" s="19">
        <f t="shared" ref="D68:D81" si="1">IF(C68&gt;=7,100%,IF(C68&gt;=6,90%,IF(C68&gt;=5,80%,IF(C68&gt;=4,70%,IF(C68&gt;=3,60%,IF(C68&gt;=2,50%,0))))))</f>
        <v>0.9</v>
      </c>
    </row>
    <row r="69" spans="1:4">
      <c r="A69" s="15">
        <v>288</v>
      </c>
      <c r="B69" s="14" t="s">
        <v>535</v>
      </c>
      <c r="C69" s="19">
        <v>7.3192000000000004</v>
      </c>
      <c r="D69" s="19">
        <f t="shared" si="1"/>
        <v>1</v>
      </c>
    </row>
    <row r="70" spans="1:4">
      <c r="A70" s="15">
        <v>290</v>
      </c>
      <c r="B70" s="14" t="s">
        <v>536</v>
      </c>
      <c r="C70" s="19">
        <v>6.7481999999999998</v>
      </c>
      <c r="D70" s="19">
        <f t="shared" si="1"/>
        <v>0.9</v>
      </c>
    </row>
    <row r="71" spans="1:4">
      <c r="A71" s="15">
        <v>291</v>
      </c>
      <c r="B71" s="14" t="s">
        <v>537</v>
      </c>
      <c r="C71" s="19">
        <v>6.6590999999999996</v>
      </c>
      <c r="D71" s="19">
        <f t="shared" si="1"/>
        <v>0.9</v>
      </c>
    </row>
    <row r="72" spans="1:4">
      <c r="A72" s="15">
        <v>292</v>
      </c>
      <c r="B72" s="14" t="s">
        <v>538</v>
      </c>
      <c r="C72" s="19">
        <v>6.6646999999999998</v>
      </c>
      <c r="D72" s="19">
        <f t="shared" si="1"/>
        <v>0.9</v>
      </c>
    </row>
    <row r="73" spans="1:4">
      <c r="A73" s="15">
        <v>294</v>
      </c>
      <c r="B73" s="14" t="s">
        <v>539</v>
      </c>
      <c r="C73" s="19">
        <v>6.5362</v>
      </c>
      <c r="D73" s="19">
        <f t="shared" si="1"/>
        <v>0.9</v>
      </c>
    </row>
    <row r="74" spans="1:4">
      <c r="A74" s="15">
        <v>296</v>
      </c>
      <c r="B74" s="14" t="s">
        <v>540</v>
      </c>
      <c r="C74" s="19">
        <v>7.1074999999999999</v>
      </c>
      <c r="D74" s="19">
        <f t="shared" si="1"/>
        <v>1</v>
      </c>
    </row>
    <row r="75" spans="1:4">
      <c r="A75" s="15">
        <v>297</v>
      </c>
      <c r="B75" s="14" t="s">
        <v>541</v>
      </c>
      <c r="C75" s="19">
        <v>7.1510999999999996</v>
      </c>
      <c r="D75" s="19">
        <f t="shared" si="1"/>
        <v>1</v>
      </c>
    </row>
    <row r="76" spans="1:4">
      <c r="A76" s="15">
        <v>298</v>
      </c>
      <c r="B76" s="14" t="s">
        <v>542</v>
      </c>
      <c r="C76" s="19">
        <v>7.4558</v>
      </c>
      <c r="D76" s="19">
        <f t="shared" si="1"/>
        <v>1</v>
      </c>
    </row>
    <row r="77" spans="1:4">
      <c r="A77" s="15">
        <v>299</v>
      </c>
      <c r="B77" s="14" t="s">
        <v>543</v>
      </c>
      <c r="C77" s="19">
        <v>7.3151999999999999</v>
      </c>
      <c r="D77" s="19">
        <f t="shared" si="1"/>
        <v>1</v>
      </c>
    </row>
    <row r="78" spans="1:4">
      <c r="A78" s="17">
        <v>301</v>
      </c>
      <c r="B78" s="18" t="s">
        <v>544</v>
      </c>
      <c r="C78" s="19">
        <v>6.7824999999999998</v>
      </c>
      <c r="D78" s="19">
        <f t="shared" si="1"/>
        <v>0.9</v>
      </c>
    </row>
    <row r="79" spans="1:4">
      <c r="A79" s="17">
        <v>305</v>
      </c>
      <c r="B79" s="18" t="s">
        <v>547</v>
      </c>
      <c r="C79" s="104">
        <v>7.3265000000000002</v>
      </c>
      <c r="D79" s="19">
        <f t="shared" si="1"/>
        <v>1</v>
      </c>
    </row>
    <row r="80" spans="1:4">
      <c r="A80" s="108">
        <v>308</v>
      </c>
      <c r="B80" s="16" t="s">
        <v>651</v>
      </c>
      <c r="C80" s="105">
        <v>6.5377000000000001</v>
      </c>
      <c r="D80" s="103">
        <f t="shared" si="1"/>
        <v>0.9</v>
      </c>
    </row>
    <row r="81" spans="1:4">
      <c r="A81" s="106">
        <v>309</v>
      </c>
      <c r="B81" s="107" t="s">
        <v>652</v>
      </c>
      <c r="C81" s="109">
        <v>6.7648000000000001</v>
      </c>
      <c r="D81" s="19">
        <f t="shared" si="1"/>
        <v>0.9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0C728-AB45-4D1B-8BB9-BF466B5E0E77}">
  <sheetPr>
    <tabColor rgb="FF0070C0"/>
  </sheetPr>
  <dimension ref="A1:T80"/>
  <sheetViews>
    <sheetView showGridLines="0" zoomScaleNormal="100" workbookViewId="0">
      <selection activeCell="B12" sqref="B12"/>
    </sheetView>
  </sheetViews>
  <sheetFormatPr defaultRowHeight="15.75"/>
  <cols>
    <col min="1" max="1" width="15.140625" customWidth="1"/>
    <col min="2" max="2" width="35.140625" style="231" customWidth="1"/>
    <col min="3" max="3" width="23.28515625" customWidth="1"/>
    <col min="4" max="4" width="29.42578125" customWidth="1"/>
    <col min="5" max="5" width="24.85546875" customWidth="1"/>
    <col min="6" max="6" width="20" customWidth="1"/>
    <col min="7" max="7" width="22.5703125" customWidth="1"/>
    <col min="8" max="8" width="21.85546875" customWidth="1"/>
    <col min="9" max="9" width="21.7109375" customWidth="1"/>
    <col min="10" max="10" width="18.42578125" customWidth="1"/>
    <col min="11" max="11" width="21.85546875" customWidth="1"/>
    <col min="12" max="12" width="21.28515625" customWidth="1"/>
    <col min="13" max="13" width="21" customWidth="1"/>
    <col min="14" max="14" width="22.140625" customWidth="1"/>
    <col min="15" max="15" width="23.42578125" customWidth="1"/>
    <col min="16" max="16" width="21.140625" customWidth="1"/>
    <col min="17" max="17" width="31.140625" customWidth="1"/>
    <col min="18" max="18" width="26.7109375" customWidth="1"/>
    <col min="19" max="19" width="15.5703125" customWidth="1"/>
    <col min="20" max="20" width="25.42578125" customWidth="1"/>
  </cols>
  <sheetData>
    <row r="1" spans="1:20" ht="21">
      <c r="A1" s="301" t="s">
        <v>718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</row>
    <row r="2" spans="1:20">
      <c r="A2" s="122"/>
      <c r="B2" s="617"/>
      <c r="C2" s="300" t="s">
        <v>656</v>
      </c>
      <c r="D2" s="300"/>
      <c r="E2" s="175" t="s">
        <v>657</v>
      </c>
      <c r="F2" s="175"/>
      <c r="G2" s="175"/>
      <c r="H2" s="175"/>
      <c r="I2" s="175"/>
      <c r="J2" s="175"/>
      <c r="K2" s="300" t="s">
        <v>658</v>
      </c>
      <c r="L2" s="300"/>
      <c r="M2" s="176" t="s">
        <v>659</v>
      </c>
      <c r="N2" s="176"/>
      <c r="O2" s="176"/>
      <c r="P2" s="176"/>
      <c r="Q2" s="176"/>
      <c r="R2" s="176"/>
      <c r="S2" s="122"/>
      <c r="T2" s="121"/>
    </row>
    <row r="3" spans="1:20" s="299" customFormat="1" ht="90">
      <c r="A3" s="285" t="s">
        <v>548</v>
      </c>
      <c r="B3" s="618" t="s">
        <v>549</v>
      </c>
      <c r="C3" s="286" t="s">
        <v>660</v>
      </c>
      <c r="D3" s="287" t="s">
        <v>661</v>
      </c>
      <c r="E3" s="288" t="s">
        <v>662</v>
      </c>
      <c r="F3" s="289" t="s">
        <v>607</v>
      </c>
      <c r="G3" s="289" t="s">
        <v>550</v>
      </c>
      <c r="H3" s="290" t="s">
        <v>663</v>
      </c>
      <c r="I3" s="290" t="s">
        <v>664</v>
      </c>
      <c r="J3" s="291" t="s">
        <v>551</v>
      </c>
      <c r="K3" s="292" t="s">
        <v>665</v>
      </c>
      <c r="L3" s="293" t="s">
        <v>666</v>
      </c>
      <c r="M3" s="294" t="s">
        <v>667</v>
      </c>
      <c r="N3" s="294" t="s">
        <v>668</v>
      </c>
      <c r="O3" s="294" t="s">
        <v>669</v>
      </c>
      <c r="P3" s="295" t="s">
        <v>670</v>
      </c>
      <c r="Q3" s="295" t="s">
        <v>671</v>
      </c>
      <c r="R3" s="296" t="s">
        <v>672</v>
      </c>
      <c r="S3" s="297" t="s">
        <v>673</v>
      </c>
      <c r="T3" s="298" t="s">
        <v>568</v>
      </c>
    </row>
    <row r="4" spans="1:20">
      <c r="A4" s="80">
        <v>2</v>
      </c>
      <c r="B4" s="619" t="s">
        <v>469</v>
      </c>
      <c r="C4" s="123">
        <v>4444</v>
      </c>
      <c r="D4" s="124">
        <f>Tabela13[[#This Row],[Matrículas de alunos em Curso 1° Semestre 2024]]*0.075</f>
        <v>333.3</v>
      </c>
      <c r="E4" s="125">
        <v>464</v>
      </c>
      <c r="F4" s="126">
        <f>IF(Tabela13[[#This Row],[INSCRITOS - Escola de Inovadores - 1° Semestre 2024]]&lt;Tabela13[[#This Row],[Linha de Base (7,5%) 1°Semestre]], 0,1)</f>
        <v>1</v>
      </c>
      <c r="G4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4" s="128">
        <v>128</v>
      </c>
      <c r="I4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0.38403840384038401</v>
      </c>
      <c r="J4" s="127">
        <f>IF(Tabela13[[#This Row],[X = Percentual de inscritos na escola de inovadores para o cumprimento de meta ( Peso 0,60)]]=0, 0, Tabela13[[#This Row],[Percentual CONCLUINTES - Escola de Inovadores 2024]]*0.4)</f>
        <v>0.15361536153615363</v>
      </c>
      <c r="K4" s="123">
        <v>4289</v>
      </c>
      <c r="L4" s="129">
        <f>Tabela13[[#This Row],[Matriculados 2°Semestre em Curso]]*7.5%</f>
        <v>321.67500000000001</v>
      </c>
      <c r="M4" s="130">
        <v>270</v>
      </c>
      <c r="N4" s="131">
        <f>IF(Tabela13[[#This Row],[INSCRITOS - Escola de Inovadores - 2°Semestre 2024]]&lt;L4, 0,1)</f>
        <v>0</v>
      </c>
      <c r="O4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4" s="130">
        <v>99</v>
      </c>
      <c r="Q4" s="131">
        <f>IFERROR(IF(Tabela13[[#This Row],[Taxa de Inscritos 2° Semestre 2024]]=0, 0, MIN(1,Tabela13[[#This Row],[CONCLUINTES ESCOLA DE INOVADORES - 2° Semestre 2024]]/Tabela13[[#This Row],[Linha de Base (7,5%) 2°Semestre]])),0)</f>
        <v>0</v>
      </c>
      <c r="R4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4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0.3768076807680768</v>
      </c>
      <c r="T4" s="133">
        <f>IF(S4&gt;=0.8,100%,IF(S4&gt;=0.7,80%,IF(S4&gt;=0.6,70%,IF(S4&gt;=0.5,60%,IF(S4&gt;=0.4,50%,IF(S4&lt;0.4,0%,))))))</f>
        <v>0</v>
      </c>
    </row>
    <row r="5" spans="1:20">
      <c r="A5" s="80">
        <v>3</v>
      </c>
      <c r="B5" s="619" t="s">
        <v>719</v>
      </c>
      <c r="C5" s="123">
        <v>2197</v>
      </c>
      <c r="D5" s="124">
        <f>Tabela13[[#This Row],[Matrículas de alunos em Curso 1° Semestre 2024]]*0.075</f>
        <v>164.77500000000001</v>
      </c>
      <c r="E5" s="125">
        <v>113</v>
      </c>
      <c r="F5" s="126">
        <f>IF(Tabela13[[#This Row],[INSCRITOS - Escola de Inovadores - 1° Semestre 2024]]&lt;Tabela13[[#This Row],[Linha de Base (7,5%) 1°Semestre]], 0,1)</f>
        <v>0</v>
      </c>
      <c r="G5" s="127">
        <f>MIN(IF(Tabela13[[#This Row],[INSCRITOS - Escola de Inovadores - 1° Semestre 2024]]&gt;Tabela13[[#This Row],[Linha de Base (7,5%) 1°Semestre]],0.6*Tabela13[[#This Row],[Percentual INSCRITOS - Escola de Inovadores - 2024]],0),1)</f>
        <v>0</v>
      </c>
      <c r="H5" s="128">
        <v>71</v>
      </c>
      <c r="I5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</v>
      </c>
      <c r="J5" s="127">
        <f>IF(Tabela13[[#This Row],[X = Percentual de inscritos na escola de inovadores para o cumprimento de meta ( Peso 0,60)]]=0, 0, Tabela13[[#This Row],[Percentual CONCLUINTES - Escola de Inovadores 2024]]*0.4)</f>
        <v>0</v>
      </c>
      <c r="K5" s="123">
        <v>2001</v>
      </c>
      <c r="L5" s="129">
        <f>Tabela13[[#This Row],[Matriculados 2°Semestre em Curso]]*7.5%</f>
        <v>150.07499999999999</v>
      </c>
      <c r="M5" s="130">
        <v>112</v>
      </c>
      <c r="N5" s="131">
        <f>IF(Tabela13[[#This Row],[INSCRITOS - Escola de Inovadores - 2°Semestre 2024]]&lt;L5, 0,1)</f>
        <v>0</v>
      </c>
      <c r="O5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5" s="130">
        <v>58</v>
      </c>
      <c r="Q5" s="131">
        <f>IFERROR(IF(Tabela13[[#This Row],[Taxa de Inscritos 2° Semestre 2024]]=0, 0, MIN(1,Tabela13[[#This Row],[CONCLUINTES ESCOLA DE INOVADORES - 2° Semestre 2024]]/Tabela13[[#This Row],[Linha de Base (7,5%) 2°Semestre]])),0)</f>
        <v>0</v>
      </c>
      <c r="R5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5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</v>
      </c>
      <c r="T5" s="133">
        <f t="shared" ref="T5:T68" si="0">IF(S5&gt;=0.8,100%,IF(S5&gt;=0.7,80%,IF(S5&gt;=0.6,70%,IF(S5&gt;=0.5,60%,IF(S5&gt;=0.4,50%,IF(S5&lt;0.4,0%,))))))</f>
        <v>0</v>
      </c>
    </row>
    <row r="6" spans="1:20">
      <c r="A6" s="80">
        <v>4</v>
      </c>
      <c r="B6" s="619" t="s">
        <v>471</v>
      </c>
      <c r="C6" s="123">
        <v>2242</v>
      </c>
      <c r="D6" s="124">
        <f>Tabela13[[#This Row],[Matrículas de alunos em Curso 1° Semestre 2024]]*0.075</f>
        <v>168.15</v>
      </c>
      <c r="E6" s="125">
        <v>180</v>
      </c>
      <c r="F6" s="126">
        <f>IF(Tabela13[[#This Row],[INSCRITOS - Escola de Inovadores - 1° Semestre 2024]]&lt;Tabela13[[#This Row],[Linha de Base (7,5%) 1°Semestre]], 0,1)</f>
        <v>1</v>
      </c>
      <c r="G6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6" s="128">
        <v>127</v>
      </c>
      <c r="I6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0.75527802557240553</v>
      </c>
      <c r="J6" s="127">
        <f>IF(Tabela13[[#This Row],[X = Percentual de inscritos na escola de inovadores para o cumprimento de meta ( Peso 0,60)]]=0, 0, Tabela13[[#This Row],[Percentual CONCLUINTES - Escola de Inovadores 2024]]*0.4)</f>
        <v>0.30211121022896226</v>
      </c>
      <c r="K6" s="123">
        <v>2115</v>
      </c>
      <c r="L6" s="129">
        <f>Tabela13[[#This Row],[Matriculados 2°Semestre em Curso]]*7.5%</f>
        <v>158.625</v>
      </c>
      <c r="M6" s="130">
        <v>194</v>
      </c>
      <c r="N6" s="131">
        <f>IF(Tabela13[[#This Row],[INSCRITOS - Escola de Inovadores - 2°Semestre 2024]]&lt;L6, 0,1)</f>
        <v>1</v>
      </c>
      <c r="O6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6" s="130">
        <v>116</v>
      </c>
      <c r="Q6" s="131">
        <f>IFERROR(IF(Tabela13[[#This Row],[Taxa de Inscritos 2° Semestre 2024]]=0, 0, MIN(1,Tabela13[[#This Row],[CONCLUINTES ESCOLA DE INOVADORES - 2° Semestre 2024]]/Tabela13[[#This Row],[Linha de Base (7,5%) 2°Semestre]])),0)</f>
        <v>0.73128447596532697</v>
      </c>
      <c r="R6" s="132">
        <f>IF(Tabela13[[#This Row],[X = Percentual de inscritos na escola de inovadores para o cumprimento de meta ( Peso 0,60) 2°Semestre]]=0, 0, ROUND(Tabela13[[#This Row],[Percentual CONCLUINTES - Escola de Inovadores 2024 2°Semestre]]*0.4,1))</f>
        <v>0.3</v>
      </c>
      <c r="S6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0.90105560511448113</v>
      </c>
      <c r="T6" s="133">
        <f t="shared" si="0"/>
        <v>1</v>
      </c>
    </row>
    <row r="7" spans="1:20">
      <c r="A7" s="80">
        <v>5</v>
      </c>
      <c r="B7" s="619" t="s">
        <v>472</v>
      </c>
      <c r="C7" s="123">
        <v>2229</v>
      </c>
      <c r="D7" s="124">
        <f>Tabela13[[#This Row],[Matrículas de alunos em Curso 1° Semestre 2024]]*0.075</f>
        <v>167.17499999999998</v>
      </c>
      <c r="E7" s="125">
        <v>109</v>
      </c>
      <c r="F7" s="126">
        <f>IF(Tabela13[[#This Row],[INSCRITOS - Escola de Inovadores - 1° Semestre 2024]]&lt;Tabela13[[#This Row],[Linha de Base (7,5%) 1°Semestre]], 0,1)</f>
        <v>0</v>
      </c>
      <c r="G7" s="127">
        <f>MIN(IF(Tabela13[[#This Row],[INSCRITOS - Escola de Inovadores - 1° Semestre 2024]]&gt;Tabela13[[#This Row],[Linha de Base (7,5%) 1°Semestre]],0.6*Tabela13[[#This Row],[Percentual INSCRITOS - Escola de Inovadores - 2024]],0),1)</f>
        <v>0</v>
      </c>
      <c r="H7" s="128">
        <v>54</v>
      </c>
      <c r="I7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</v>
      </c>
      <c r="J7" s="127">
        <f>IF(Tabela13[[#This Row],[X = Percentual de inscritos na escola de inovadores para o cumprimento de meta ( Peso 0,60)]]=0, 0, Tabela13[[#This Row],[Percentual CONCLUINTES - Escola de Inovadores 2024]]*0.4)</f>
        <v>0</v>
      </c>
      <c r="K7" s="123">
        <v>2233</v>
      </c>
      <c r="L7" s="129">
        <f>Tabela13[[#This Row],[Matriculados 2°Semestre em Curso]]*7.5%</f>
        <v>167.47499999999999</v>
      </c>
      <c r="M7" s="130">
        <v>89</v>
      </c>
      <c r="N7" s="131">
        <f>IF(Tabela13[[#This Row],[INSCRITOS - Escola de Inovadores - 2°Semestre 2024]]&lt;L7, 0,1)</f>
        <v>0</v>
      </c>
      <c r="O7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7" s="130">
        <v>41</v>
      </c>
      <c r="Q7" s="131">
        <f>IFERROR(IF(Tabela13[[#This Row],[Taxa de Inscritos 2° Semestre 2024]]=0, 0, MIN(1,Tabela13[[#This Row],[CONCLUINTES ESCOLA DE INOVADORES - 2° Semestre 2024]]/Tabela13[[#This Row],[Linha de Base (7,5%) 2°Semestre]])),0)</f>
        <v>0</v>
      </c>
      <c r="R7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7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</v>
      </c>
      <c r="T7" s="133">
        <f t="shared" si="0"/>
        <v>0</v>
      </c>
    </row>
    <row r="8" spans="1:20">
      <c r="A8" s="80">
        <v>20</v>
      </c>
      <c r="B8" s="619" t="s">
        <v>473</v>
      </c>
      <c r="C8" s="123">
        <v>947</v>
      </c>
      <c r="D8" s="124">
        <f>Tabela13[[#This Row],[Matrículas de alunos em Curso 1° Semestre 2024]]*0.075</f>
        <v>71.024999999999991</v>
      </c>
      <c r="E8" s="125">
        <v>77</v>
      </c>
      <c r="F8" s="126">
        <f>IF(Tabela13[[#This Row],[INSCRITOS - Escola de Inovadores - 1° Semestre 2024]]&lt;Tabela13[[#This Row],[Linha de Base (7,5%) 1°Semestre]], 0,1)</f>
        <v>1</v>
      </c>
      <c r="G8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8" s="128">
        <v>36</v>
      </c>
      <c r="I8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0.50686378035902857</v>
      </c>
      <c r="J8" s="127">
        <f>IF(Tabela13[[#This Row],[X = Percentual de inscritos na escola de inovadores para o cumprimento de meta ( Peso 0,60)]]=0, 0, Tabela13[[#This Row],[Percentual CONCLUINTES - Escola de Inovadores 2024]]*0.4)</f>
        <v>0.20274551214361144</v>
      </c>
      <c r="K8" s="123">
        <v>900</v>
      </c>
      <c r="L8" s="129">
        <f>Tabela13[[#This Row],[Matriculados 2°Semestre em Curso]]*7.5%</f>
        <v>67.5</v>
      </c>
      <c r="M8" s="130">
        <v>87</v>
      </c>
      <c r="N8" s="131">
        <f>IF(Tabela13[[#This Row],[INSCRITOS - Escola de Inovadores - 2°Semestre 2024]]&lt;L8, 0,1)</f>
        <v>1</v>
      </c>
      <c r="O8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8" s="130">
        <v>28</v>
      </c>
      <c r="Q8" s="131">
        <f>IFERROR(IF(Tabela13[[#This Row],[Taxa de Inscritos 2° Semestre 2024]]=0, 0, MIN(1,Tabela13[[#This Row],[CONCLUINTES ESCOLA DE INOVADORES - 2° Semestre 2024]]/Tabela13[[#This Row],[Linha de Base (7,5%) 2°Semestre]])),0)</f>
        <v>0.4148148148148148</v>
      </c>
      <c r="R8" s="132">
        <f>IF(Tabela13[[#This Row],[X = Percentual de inscritos na escola de inovadores para o cumprimento de meta ( Peso 0,60) 2°Semestre]]=0, 0, ROUND(Tabela13[[#This Row],[Percentual CONCLUINTES - Escola de Inovadores 2024 2°Semestre]]*0.4,1))</f>
        <v>0.2</v>
      </c>
      <c r="S8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0.80137275607180569</v>
      </c>
      <c r="T8" s="133">
        <f t="shared" si="0"/>
        <v>1</v>
      </c>
    </row>
    <row r="9" spans="1:20">
      <c r="A9" s="80">
        <v>21</v>
      </c>
      <c r="B9" s="619" t="s">
        <v>474</v>
      </c>
      <c r="C9" s="123">
        <v>1461</v>
      </c>
      <c r="D9" s="124">
        <f>Tabela13[[#This Row],[Matrículas de alunos em Curso 1° Semestre 2024]]*0.075</f>
        <v>109.575</v>
      </c>
      <c r="E9" s="125">
        <v>136</v>
      </c>
      <c r="F9" s="126">
        <f>IF(Tabela13[[#This Row],[INSCRITOS - Escola de Inovadores - 1° Semestre 2024]]&lt;Tabela13[[#This Row],[Linha de Base (7,5%) 1°Semestre]], 0,1)</f>
        <v>1</v>
      </c>
      <c r="G9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9" s="128">
        <v>62</v>
      </c>
      <c r="I9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0.56582249600730095</v>
      </c>
      <c r="J9" s="127">
        <f>IF(Tabela13[[#This Row],[X = Percentual de inscritos na escola de inovadores para o cumprimento de meta ( Peso 0,60)]]=0, 0, Tabela13[[#This Row],[Percentual CONCLUINTES - Escola de Inovadores 2024]]*0.4)</f>
        <v>0.22632899840292039</v>
      </c>
      <c r="K9" s="123">
        <v>1442</v>
      </c>
      <c r="L9" s="129">
        <f>Tabela13[[#This Row],[Matriculados 2°Semestre em Curso]]*7.5%</f>
        <v>108.14999999999999</v>
      </c>
      <c r="M9" s="130">
        <v>70</v>
      </c>
      <c r="N9" s="131">
        <f>IF(Tabela13[[#This Row],[INSCRITOS - Escola de Inovadores - 2°Semestre 2024]]&lt;L9, 0,1)</f>
        <v>0</v>
      </c>
      <c r="O9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9" s="130">
        <v>32</v>
      </c>
      <c r="Q9" s="131">
        <f>IFERROR(IF(Tabela13[[#This Row],[Taxa de Inscritos 2° Semestre 2024]]=0, 0, MIN(1,Tabela13[[#This Row],[CONCLUINTES ESCOLA DE INOVADORES - 2° Semestre 2024]]/Tabela13[[#This Row],[Linha de Base (7,5%) 2°Semestre]])),0)</f>
        <v>0</v>
      </c>
      <c r="R9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9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0.4131644992014602</v>
      </c>
      <c r="T9" s="133">
        <f t="shared" si="0"/>
        <v>0.5</v>
      </c>
    </row>
    <row r="10" spans="1:20">
      <c r="A10" s="80">
        <v>22</v>
      </c>
      <c r="B10" s="619" t="s">
        <v>475</v>
      </c>
      <c r="C10" s="123">
        <v>1290</v>
      </c>
      <c r="D10" s="124">
        <f>Tabela13[[#This Row],[Matrículas de alunos em Curso 1° Semestre 2024]]*0.075</f>
        <v>96.75</v>
      </c>
      <c r="E10" s="125">
        <v>95</v>
      </c>
      <c r="F10" s="126">
        <f>IF(Tabela13[[#This Row],[INSCRITOS - Escola de Inovadores - 1° Semestre 2024]]&lt;Tabela13[[#This Row],[Linha de Base (7,5%) 1°Semestre]], 0,1)</f>
        <v>0</v>
      </c>
      <c r="G10" s="127">
        <f>MIN(IF(Tabela13[[#This Row],[INSCRITOS - Escola de Inovadores - 1° Semestre 2024]]&gt;Tabela13[[#This Row],[Linha de Base (7,5%) 1°Semestre]],0.6*Tabela13[[#This Row],[Percentual INSCRITOS - Escola de Inovadores - 2024]],0),1)</f>
        <v>0</v>
      </c>
      <c r="H10" s="128">
        <v>8</v>
      </c>
      <c r="I10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</v>
      </c>
      <c r="J10" s="127">
        <f>IF(Tabela13[[#This Row],[X = Percentual de inscritos na escola de inovadores para o cumprimento de meta ( Peso 0,60)]]=0, 0, Tabela13[[#This Row],[Percentual CONCLUINTES - Escola de Inovadores 2024]]*0.4)</f>
        <v>0</v>
      </c>
      <c r="K10" s="123">
        <v>1247</v>
      </c>
      <c r="L10" s="129">
        <f>Tabela13[[#This Row],[Matriculados 2°Semestre em Curso]]*7.5%</f>
        <v>93.524999999999991</v>
      </c>
      <c r="M10" s="130">
        <v>123</v>
      </c>
      <c r="N10" s="131">
        <f>IF(Tabela13[[#This Row],[INSCRITOS - Escola de Inovadores - 2°Semestre 2024]]&lt;L10, 0,1)</f>
        <v>1</v>
      </c>
      <c r="O10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10" s="130">
        <v>23</v>
      </c>
      <c r="Q10" s="131">
        <f>IFERROR(IF(Tabela13[[#This Row],[Taxa de Inscritos 2° Semestre 2024]]=0, 0, MIN(1,Tabela13[[#This Row],[CONCLUINTES ESCOLA DE INOVADORES - 2° Semestre 2024]]/Tabela13[[#This Row],[Linha de Base (7,5%) 2°Semestre]])),0)</f>
        <v>0.24592354985298051</v>
      </c>
      <c r="R10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10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</v>
      </c>
      <c r="T10" s="133">
        <f t="shared" si="0"/>
        <v>0</v>
      </c>
    </row>
    <row r="11" spans="1:20">
      <c r="A11" s="80">
        <v>105</v>
      </c>
      <c r="B11" s="619" t="s">
        <v>476</v>
      </c>
      <c r="C11" s="123">
        <v>1260</v>
      </c>
      <c r="D11" s="124">
        <f>Tabela13[[#This Row],[Matrículas de alunos em Curso 1° Semestre 2024]]*0.075</f>
        <v>94.5</v>
      </c>
      <c r="E11" s="125">
        <v>132</v>
      </c>
      <c r="F11" s="126">
        <f>IF(Tabela13[[#This Row],[INSCRITOS - Escola de Inovadores - 1° Semestre 2024]]&lt;Tabela13[[#This Row],[Linha de Base (7,5%) 1°Semestre]], 0,1)</f>
        <v>1</v>
      </c>
      <c r="G11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11" s="128">
        <v>53</v>
      </c>
      <c r="I11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0.56084656084656082</v>
      </c>
      <c r="J11" s="127">
        <f>IF(Tabela13[[#This Row],[X = Percentual de inscritos na escola de inovadores para o cumprimento de meta ( Peso 0,60)]]=0, 0, Tabela13[[#This Row],[Percentual CONCLUINTES - Escola de Inovadores 2024]]*0.4)</f>
        <v>0.22433862433862434</v>
      </c>
      <c r="K11" s="123">
        <v>1208</v>
      </c>
      <c r="L11" s="129">
        <f>Tabela13[[#This Row],[Matriculados 2°Semestre em Curso]]*7.5%</f>
        <v>90.6</v>
      </c>
      <c r="M11" s="130">
        <v>114</v>
      </c>
      <c r="N11" s="131">
        <f>IF(Tabela13[[#This Row],[INSCRITOS - Escola de Inovadores - 2°Semestre 2024]]&lt;L11, 0,1)</f>
        <v>1</v>
      </c>
      <c r="O11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11" s="130">
        <v>43</v>
      </c>
      <c r="Q11" s="131">
        <f>IFERROR(IF(Tabela13[[#This Row],[Taxa de Inscritos 2° Semestre 2024]]=0, 0, MIN(1,Tabela13[[#This Row],[CONCLUINTES ESCOLA DE INOVADORES - 2° Semestre 2024]]/Tabela13[[#This Row],[Linha de Base (7,5%) 2°Semestre]])),0)</f>
        <v>0.47461368653421637</v>
      </c>
      <c r="R11" s="132">
        <f>IF(Tabela13[[#This Row],[X = Percentual de inscritos na escola de inovadores para o cumprimento de meta ( Peso 0,60) 2°Semestre]]=0, 0, ROUND(Tabela13[[#This Row],[Percentual CONCLUINTES - Escola de Inovadores 2024 2°Semestre]]*0.4,1))</f>
        <v>0.2</v>
      </c>
      <c r="S11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0.81216931216931221</v>
      </c>
      <c r="T11" s="133">
        <f t="shared" si="0"/>
        <v>1</v>
      </c>
    </row>
    <row r="12" spans="1:20">
      <c r="A12" s="80">
        <v>106</v>
      </c>
      <c r="B12" s="619" t="s">
        <v>477</v>
      </c>
      <c r="C12" s="123">
        <v>1342</v>
      </c>
      <c r="D12" s="124">
        <f>Tabela13[[#This Row],[Matrículas de alunos em Curso 1° Semestre 2024]]*0.075</f>
        <v>100.64999999999999</v>
      </c>
      <c r="E12" s="125">
        <v>18</v>
      </c>
      <c r="F12" s="126">
        <f>IF(Tabela13[[#This Row],[INSCRITOS - Escola de Inovadores - 1° Semestre 2024]]&lt;Tabela13[[#This Row],[Linha de Base (7,5%) 1°Semestre]], 0,1)</f>
        <v>0</v>
      </c>
      <c r="G12" s="127">
        <f>MIN(IF(Tabela13[[#This Row],[INSCRITOS - Escola de Inovadores - 1° Semestre 2024]]&gt;Tabela13[[#This Row],[Linha de Base (7,5%) 1°Semestre]],0.6*Tabela13[[#This Row],[Percentual INSCRITOS - Escola de Inovadores - 2024]],0),1)</f>
        <v>0</v>
      </c>
      <c r="H12" s="128">
        <v>3</v>
      </c>
      <c r="I12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</v>
      </c>
      <c r="J12" s="127">
        <f>IF(Tabela13[[#This Row],[X = Percentual de inscritos na escola de inovadores para o cumprimento de meta ( Peso 0,60)]]=0, 0, Tabela13[[#This Row],[Percentual CONCLUINTES - Escola de Inovadores 2024]]*0.4)</f>
        <v>0</v>
      </c>
      <c r="K12" s="123">
        <v>1304</v>
      </c>
      <c r="L12" s="129">
        <f>Tabela13[[#This Row],[Matriculados 2°Semestre em Curso]]*7.5%</f>
        <v>97.8</v>
      </c>
      <c r="M12" s="130">
        <v>61</v>
      </c>
      <c r="N12" s="131">
        <f>IF(Tabela13[[#This Row],[INSCRITOS - Escola de Inovadores - 2°Semestre 2024]]&lt;L12, 0,1)</f>
        <v>0</v>
      </c>
      <c r="O12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12" s="130">
        <v>0</v>
      </c>
      <c r="Q12" s="131">
        <f>IFERROR(IF(Tabela13[[#This Row],[Taxa de Inscritos 2° Semestre 2024]]=0, 0, MIN(1,Tabela13[[#This Row],[CONCLUINTES ESCOLA DE INOVADORES - 2° Semestre 2024]]/Tabela13[[#This Row],[Linha de Base (7,5%) 2°Semestre]])),0)</f>
        <v>0</v>
      </c>
      <c r="R12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12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</v>
      </c>
      <c r="T12" s="133">
        <f t="shared" si="0"/>
        <v>0</v>
      </c>
    </row>
    <row r="13" spans="1:20">
      <c r="A13" s="80">
        <v>109</v>
      </c>
      <c r="B13" s="619" t="s">
        <v>478</v>
      </c>
      <c r="C13" s="123">
        <v>1500</v>
      </c>
      <c r="D13" s="124">
        <f>Tabela13[[#This Row],[Matrículas de alunos em Curso 1° Semestre 2024]]*0.075</f>
        <v>112.5</v>
      </c>
      <c r="E13" s="125">
        <v>47</v>
      </c>
      <c r="F13" s="126">
        <f>IF(Tabela13[[#This Row],[INSCRITOS - Escola de Inovadores - 1° Semestre 2024]]&lt;Tabela13[[#This Row],[Linha de Base (7,5%) 1°Semestre]], 0,1)</f>
        <v>0</v>
      </c>
      <c r="G13" s="127">
        <f>MIN(IF(Tabela13[[#This Row],[INSCRITOS - Escola de Inovadores - 1° Semestre 2024]]&gt;Tabela13[[#This Row],[Linha de Base (7,5%) 1°Semestre]],0.6*Tabela13[[#This Row],[Percentual INSCRITOS - Escola de Inovadores - 2024]],0),1)</f>
        <v>0</v>
      </c>
      <c r="H13" s="128">
        <v>29</v>
      </c>
      <c r="I13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</v>
      </c>
      <c r="J13" s="127">
        <f>IF(Tabela13[[#This Row],[X = Percentual de inscritos na escola de inovadores para o cumprimento de meta ( Peso 0,60)]]=0, 0, Tabela13[[#This Row],[Percentual CONCLUINTES - Escola de Inovadores 2024]]*0.4)</f>
        <v>0</v>
      </c>
      <c r="K13" s="123">
        <v>1335</v>
      </c>
      <c r="L13" s="129">
        <f>Tabela13[[#This Row],[Matriculados 2°Semestre em Curso]]*7.5%</f>
        <v>100.125</v>
      </c>
      <c r="M13" s="130">
        <v>144</v>
      </c>
      <c r="N13" s="131">
        <f>IF(Tabela13[[#This Row],[INSCRITOS - Escola de Inovadores - 2°Semestre 2024]]&lt;L13, 0,1)</f>
        <v>1</v>
      </c>
      <c r="O13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13" s="130">
        <v>96</v>
      </c>
      <c r="Q13" s="131">
        <f>IFERROR(IF(Tabela13[[#This Row],[Taxa de Inscritos 2° Semestre 2024]]=0, 0, MIN(1,Tabela13[[#This Row],[CONCLUINTES ESCOLA DE INOVADORES - 2° Semestre 2024]]/Tabela13[[#This Row],[Linha de Base (7,5%) 2°Semestre]])),0)</f>
        <v>0.95880149812734083</v>
      </c>
      <c r="R13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13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</v>
      </c>
      <c r="T13" s="133">
        <f t="shared" si="0"/>
        <v>0</v>
      </c>
    </row>
    <row r="14" spans="1:20">
      <c r="A14" s="80">
        <v>111</v>
      </c>
      <c r="B14" s="619" t="s">
        <v>479</v>
      </c>
      <c r="C14" s="123">
        <v>2141</v>
      </c>
      <c r="D14" s="124">
        <f>Tabela13[[#This Row],[Matrículas de alunos em Curso 1° Semestre 2024]]*0.075</f>
        <v>160.57499999999999</v>
      </c>
      <c r="E14" s="125">
        <v>284</v>
      </c>
      <c r="F14" s="126">
        <f>IF(Tabela13[[#This Row],[INSCRITOS - Escola de Inovadores - 1° Semestre 2024]]&lt;Tabela13[[#This Row],[Linha de Base (7,5%) 1°Semestre]], 0,1)</f>
        <v>1</v>
      </c>
      <c r="G14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14" s="128">
        <v>85</v>
      </c>
      <c r="I14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0.52934765685816598</v>
      </c>
      <c r="J14" s="127">
        <f>IF(Tabela13[[#This Row],[X = Percentual de inscritos na escola de inovadores para o cumprimento de meta ( Peso 0,60)]]=0, 0, Tabela13[[#This Row],[Percentual CONCLUINTES - Escola de Inovadores 2024]]*0.4)</f>
        <v>0.2117390627432664</v>
      </c>
      <c r="K14" s="123">
        <v>2081</v>
      </c>
      <c r="L14" s="129">
        <f>Tabela13[[#This Row],[Matriculados 2°Semestre em Curso]]*7.5%</f>
        <v>156.07499999999999</v>
      </c>
      <c r="M14" s="130">
        <v>207</v>
      </c>
      <c r="N14" s="131">
        <f>IF(Tabela13[[#This Row],[INSCRITOS - Escola de Inovadores - 2°Semestre 2024]]&lt;L14, 0,1)</f>
        <v>1</v>
      </c>
      <c r="O14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14" s="130">
        <v>98</v>
      </c>
      <c r="Q14" s="131">
        <f>IFERROR(IF(Tabela13[[#This Row],[Taxa de Inscritos 2° Semestre 2024]]=0, 0, MIN(1,Tabela13[[#This Row],[CONCLUINTES ESCOLA DE INOVADORES - 2° Semestre 2024]]/Tabela13[[#This Row],[Linha de Base (7,5%) 2°Semestre]])),0)</f>
        <v>0.62790325164183891</v>
      </c>
      <c r="R14" s="132">
        <f>IF(Tabela13[[#This Row],[X = Percentual de inscritos na escola de inovadores para o cumprimento de meta ( Peso 0,60) 2°Semestre]]=0, 0, ROUND(Tabela13[[#This Row],[Percentual CONCLUINTES - Escola de Inovadores 2024 2°Semestre]]*0.4,1))</f>
        <v>0.3</v>
      </c>
      <c r="S14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0.85586953137163324</v>
      </c>
      <c r="T14" s="133">
        <f t="shared" si="0"/>
        <v>1</v>
      </c>
    </row>
    <row r="15" spans="1:20">
      <c r="A15" s="80">
        <v>112</v>
      </c>
      <c r="B15" s="619" t="s">
        <v>480</v>
      </c>
      <c r="C15" s="123">
        <v>1117</v>
      </c>
      <c r="D15" s="124">
        <f>Tabela13[[#This Row],[Matrículas de alunos em Curso 1° Semestre 2024]]*0.075</f>
        <v>83.774999999999991</v>
      </c>
      <c r="E15" s="125">
        <v>54</v>
      </c>
      <c r="F15" s="126">
        <f>IF(Tabela13[[#This Row],[INSCRITOS - Escola de Inovadores - 1° Semestre 2024]]&lt;Tabela13[[#This Row],[Linha de Base (7,5%) 1°Semestre]], 0,1)</f>
        <v>0</v>
      </c>
      <c r="G15" s="127">
        <f>MIN(IF(Tabela13[[#This Row],[INSCRITOS - Escola de Inovadores - 1° Semestre 2024]]&gt;Tabela13[[#This Row],[Linha de Base (7,5%) 1°Semestre]],0.6*Tabela13[[#This Row],[Percentual INSCRITOS - Escola de Inovadores - 2024]],0),1)</f>
        <v>0</v>
      </c>
      <c r="H15" s="128">
        <v>31</v>
      </c>
      <c r="I15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</v>
      </c>
      <c r="J15" s="127">
        <f>IF(Tabela13[[#This Row],[X = Percentual de inscritos na escola de inovadores para o cumprimento de meta ( Peso 0,60)]]=0, 0, Tabela13[[#This Row],[Percentual CONCLUINTES - Escola de Inovadores 2024]]*0.4)</f>
        <v>0</v>
      </c>
      <c r="K15" s="123">
        <v>1059</v>
      </c>
      <c r="L15" s="129">
        <f>Tabela13[[#This Row],[Matriculados 2°Semestre em Curso]]*7.5%</f>
        <v>79.424999999999997</v>
      </c>
      <c r="M15" s="130">
        <v>102</v>
      </c>
      <c r="N15" s="131">
        <f>IF(Tabela13[[#This Row],[INSCRITOS - Escola de Inovadores - 2°Semestre 2024]]&lt;L15, 0,1)</f>
        <v>1</v>
      </c>
      <c r="O15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15" s="130">
        <v>76</v>
      </c>
      <c r="Q15" s="131">
        <f>IFERROR(IF(Tabela13[[#This Row],[Taxa de Inscritos 2° Semestre 2024]]=0, 0, MIN(1,Tabela13[[#This Row],[CONCLUINTES ESCOLA DE INOVADORES - 2° Semestre 2024]]/Tabela13[[#This Row],[Linha de Base (7,5%) 2°Semestre]])),0)</f>
        <v>0.95687755744412972</v>
      </c>
      <c r="R15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15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</v>
      </c>
      <c r="T15" s="133">
        <f t="shared" si="0"/>
        <v>0</v>
      </c>
    </row>
    <row r="16" spans="1:20">
      <c r="A16" s="80">
        <v>113</v>
      </c>
      <c r="B16" s="619" t="s">
        <v>481</v>
      </c>
      <c r="C16" s="123">
        <v>1510</v>
      </c>
      <c r="D16" s="124">
        <f>Tabela13[[#This Row],[Matrículas de alunos em Curso 1° Semestre 2024]]*0.075</f>
        <v>113.25</v>
      </c>
      <c r="E16" s="125">
        <v>105</v>
      </c>
      <c r="F16" s="126">
        <f>IF(Tabela13[[#This Row],[INSCRITOS - Escola de Inovadores - 1° Semestre 2024]]&lt;Tabela13[[#This Row],[Linha de Base (7,5%) 1°Semestre]], 0,1)</f>
        <v>0</v>
      </c>
      <c r="G16" s="127">
        <f>MIN(IF(Tabela13[[#This Row],[INSCRITOS - Escola de Inovadores - 1° Semestre 2024]]&gt;Tabela13[[#This Row],[Linha de Base (7,5%) 1°Semestre]],0.6*Tabela13[[#This Row],[Percentual INSCRITOS - Escola de Inovadores - 2024]],0),1)</f>
        <v>0</v>
      </c>
      <c r="H16" s="128">
        <v>69</v>
      </c>
      <c r="I16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</v>
      </c>
      <c r="J16" s="127">
        <f>IF(Tabela13[[#This Row],[X = Percentual de inscritos na escola de inovadores para o cumprimento de meta ( Peso 0,60)]]=0, 0, Tabela13[[#This Row],[Percentual CONCLUINTES - Escola de Inovadores 2024]]*0.4)</f>
        <v>0</v>
      </c>
      <c r="K16" s="123">
        <v>1487</v>
      </c>
      <c r="L16" s="129">
        <f>Tabela13[[#This Row],[Matriculados 2°Semestre em Curso]]*7.5%</f>
        <v>111.52499999999999</v>
      </c>
      <c r="M16" s="130">
        <v>110</v>
      </c>
      <c r="N16" s="131">
        <f>IF(Tabela13[[#This Row],[INSCRITOS - Escola de Inovadores - 2°Semestre 2024]]&lt;L16, 0,1)</f>
        <v>0</v>
      </c>
      <c r="O16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16" s="130">
        <v>68</v>
      </c>
      <c r="Q16" s="131">
        <f>IFERROR(IF(Tabela13[[#This Row],[Taxa de Inscritos 2° Semestre 2024]]=0, 0, MIN(1,Tabela13[[#This Row],[CONCLUINTES ESCOLA DE INOVADORES - 2° Semestre 2024]]/Tabela13[[#This Row],[Linha de Base (7,5%) 2°Semestre]])),0)</f>
        <v>0</v>
      </c>
      <c r="R16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16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</v>
      </c>
      <c r="T16" s="133">
        <f t="shared" si="0"/>
        <v>0</v>
      </c>
    </row>
    <row r="17" spans="1:20">
      <c r="A17" s="80">
        <v>114</v>
      </c>
      <c r="B17" s="619" t="s">
        <v>482</v>
      </c>
      <c r="C17" s="123">
        <v>1394</v>
      </c>
      <c r="D17" s="124">
        <f>Tabela13[[#This Row],[Matrículas de alunos em Curso 1° Semestre 2024]]*0.075</f>
        <v>104.55</v>
      </c>
      <c r="E17" s="125">
        <v>61</v>
      </c>
      <c r="F17" s="126">
        <f>IF(Tabela13[[#This Row],[INSCRITOS - Escola de Inovadores - 1° Semestre 2024]]&lt;Tabela13[[#This Row],[Linha de Base (7,5%) 1°Semestre]], 0,1)</f>
        <v>0</v>
      </c>
      <c r="G17" s="127">
        <f>MIN(IF(Tabela13[[#This Row],[INSCRITOS - Escola de Inovadores - 1° Semestre 2024]]&gt;Tabela13[[#This Row],[Linha de Base (7,5%) 1°Semestre]],0.6*Tabela13[[#This Row],[Percentual INSCRITOS - Escola de Inovadores - 2024]],0),1)</f>
        <v>0</v>
      </c>
      <c r="H17" s="128">
        <v>21</v>
      </c>
      <c r="I17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</v>
      </c>
      <c r="J17" s="127">
        <f>IF(Tabela13[[#This Row],[X = Percentual de inscritos na escola de inovadores para o cumprimento de meta ( Peso 0,60)]]=0, 0, Tabela13[[#This Row],[Percentual CONCLUINTES - Escola de Inovadores 2024]]*0.4)</f>
        <v>0</v>
      </c>
      <c r="K17" s="123">
        <v>1431</v>
      </c>
      <c r="L17" s="129">
        <f>Tabela13[[#This Row],[Matriculados 2°Semestre em Curso]]*7.5%</f>
        <v>107.325</v>
      </c>
      <c r="M17" s="130">
        <v>94</v>
      </c>
      <c r="N17" s="131">
        <f>IF(Tabela13[[#This Row],[INSCRITOS - Escola de Inovadores - 2°Semestre 2024]]&lt;L17, 0,1)</f>
        <v>0</v>
      </c>
      <c r="O17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17" s="130">
        <v>23</v>
      </c>
      <c r="Q17" s="131">
        <f>IFERROR(IF(Tabela13[[#This Row],[Taxa de Inscritos 2° Semestre 2024]]=0, 0, MIN(1,Tabela13[[#This Row],[CONCLUINTES ESCOLA DE INOVADORES - 2° Semestre 2024]]/Tabela13[[#This Row],[Linha de Base (7,5%) 2°Semestre]])),0)</f>
        <v>0</v>
      </c>
      <c r="R17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17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</v>
      </c>
      <c r="T17" s="133">
        <f t="shared" si="0"/>
        <v>0</v>
      </c>
    </row>
    <row r="18" spans="1:20">
      <c r="A18" s="80">
        <v>119</v>
      </c>
      <c r="B18" s="619" t="s">
        <v>483</v>
      </c>
      <c r="C18" s="123">
        <v>778</v>
      </c>
      <c r="D18" s="124">
        <f>Tabela13[[#This Row],[Matrículas de alunos em Curso 1° Semestre 2024]]*0.075</f>
        <v>58.349999999999994</v>
      </c>
      <c r="E18" s="125">
        <v>115</v>
      </c>
      <c r="F18" s="126">
        <f>IF(Tabela13[[#This Row],[INSCRITOS - Escola de Inovadores - 1° Semestre 2024]]&lt;Tabela13[[#This Row],[Linha de Base (7,5%) 1°Semestre]], 0,1)</f>
        <v>1</v>
      </c>
      <c r="G18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18" s="128">
        <v>21</v>
      </c>
      <c r="I18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0.35989717223650391</v>
      </c>
      <c r="J18" s="127">
        <f>IF(Tabela13[[#This Row],[X = Percentual de inscritos na escola de inovadores para o cumprimento de meta ( Peso 0,60)]]=0, 0, Tabela13[[#This Row],[Percentual CONCLUINTES - Escola de Inovadores 2024]]*0.4)</f>
        <v>0.14395886889460158</v>
      </c>
      <c r="K18" s="123">
        <v>742</v>
      </c>
      <c r="L18" s="129">
        <f>Tabela13[[#This Row],[Matriculados 2°Semestre em Curso]]*7.5%</f>
        <v>55.65</v>
      </c>
      <c r="M18" s="130">
        <v>60</v>
      </c>
      <c r="N18" s="131">
        <f>IF(Tabela13[[#This Row],[INSCRITOS - Escola de Inovadores - 2°Semestre 2024]]&lt;L18, 0,1)</f>
        <v>1</v>
      </c>
      <c r="O18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18" s="130">
        <v>5</v>
      </c>
      <c r="Q18" s="131">
        <f>IFERROR(IF(Tabela13[[#This Row],[Taxa de Inscritos 2° Semestre 2024]]=0, 0, MIN(1,Tabela13[[#This Row],[CONCLUINTES ESCOLA DE INOVADORES - 2° Semestre 2024]]/Tabela13[[#This Row],[Linha de Base (7,5%) 2°Semestre]])),0)</f>
        <v>8.9847259658580411E-2</v>
      </c>
      <c r="R18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18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0.67197943444730068</v>
      </c>
      <c r="T18" s="133">
        <f t="shared" si="0"/>
        <v>0.7</v>
      </c>
    </row>
    <row r="19" spans="1:20">
      <c r="A19" s="80">
        <v>120</v>
      </c>
      <c r="B19" s="619" t="s">
        <v>484</v>
      </c>
      <c r="C19" s="123">
        <v>740</v>
      </c>
      <c r="D19" s="124">
        <f>Tabela13[[#This Row],[Matrículas de alunos em Curso 1° Semestre 2024]]*0.075</f>
        <v>55.5</v>
      </c>
      <c r="E19" s="125">
        <v>10</v>
      </c>
      <c r="F19" s="126">
        <f>IF(Tabela13[[#This Row],[INSCRITOS - Escola de Inovadores - 1° Semestre 2024]]&lt;Tabela13[[#This Row],[Linha de Base (7,5%) 1°Semestre]], 0,1)</f>
        <v>0</v>
      </c>
      <c r="G19" s="127">
        <f>MIN(IF(Tabela13[[#This Row],[INSCRITOS - Escola de Inovadores - 1° Semestre 2024]]&gt;Tabela13[[#This Row],[Linha de Base (7,5%) 1°Semestre]],0.6*Tabela13[[#This Row],[Percentual INSCRITOS - Escola de Inovadores - 2024]],0),1)</f>
        <v>0</v>
      </c>
      <c r="H19" s="128">
        <v>4</v>
      </c>
      <c r="I19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</v>
      </c>
      <c r="J19" s="127">
        <f>IF(Tabela13[[#This Row],[X = Percentual de inscritos na escola de inovadores para o cumprimento de meta ( Peso 0,60)]]=0, 0, Tabela13[[#This Row],[Percentual CONCLUINTES - Escola de Inovadores 2024]]*0.4)</f>
        <v>0</v>
      </c>
      <c r="K19" s="123">
        <v>744</v>
      </c>
      <c r="L19" s="129">
        <f>Tabela13[[#This Row],[Matriculados 2°Semestre em Curso]]*7.5%</f>
        <v>55.8</v>
      </c>
      <c r="M19" s="130">
        <v>116</v>
      </c>
      <c r="N19" s="131">
        <f>IF(Tabela13[[#This Row],[INSCRITOS - Escola de Inovadores - 2°Semestre 2024]]&lt;L19, 0,1)</f>
        <v>1</v>
      </c>
      <c r="O19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19" s="130">
        <v>3</v>
      </c>
      <c r="Q19" s="131">
        <f>IFERROR(IF(Tabela13[[#This Row],[Taxa de Inscritos 2° Semestre 2024]]=0, 0, MIN(1,Tabela13[[#This Row],[CONCLUINTES ESCOLA DE INOVADORES - 2° Semestre 2024]]/Tabela13[[#This Row],[Linha de Base (7,5%) 2°Semestre]])),0)</f>
        <v>5.3763440860215055E-2</v>
      </c>
      <c r="R19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19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</v>
      </c>
      <c r="T19" s="133">
        <f t="shared" si="0"/>
        <v>0</v>
      </c>
    </row>
    <row r="20" spans="1:20">
      <c r="A20" s="80">
        <v>121</v>
      </c>
      <c r="B20" s="619" t="s">
        <v>485</v>
      </c>
      <c r="C20" s="123">
        <v>929</v>
      </c>
      <c r="D20" s="124">
        <f>Tabela13[[#This Row],[Matrículas de alunos em Curso 1° Semestre 2024]]*0.075</f>
        <v>69.674999999999997</v>
      </c>
      <c r="E20" s="125">
        <v>72</v>
      </c>
      <c r="F20" s="126">
        <f>IF(Tabela13[[#This Row],[INSCRITOS - Escola de Inovadores - 1° Semestre 2024]]&lt;Tabela13[[#This Row],[Linha de Base (7,5%) 1°Semestre]], 0,1)</f>
        <v>1</v>
      </c>
      <c r="G20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20" s="128">
        <v>16</v>
      </c>
      <c r="I20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0.22963760315751705</v>
      </c>
      <c r="J20" s="127">
        <f>IF(Tabela13[[#This Row],[X = Percentual de inscritos na escola de inovadores para o cumprimento de meta ( Peso 0,60)]]=0, 0, Tabela13[[#This Row],[Percentual CONCLUINTES - Escola de Inovadores 2024]]*0.4)</f>
        <v>9.1855041263006823E-2</v>
      </c>
      <c r="K20" s="123">
        <v>921</v>
      </c>
      <c r="L20" s="129">
        <f>Tabela13[[#This Row],[Matriculados 2°Semestre em Curso]]*7.5%</f>
        <v>69.075000000000003</v>
      </c>
      <c r="M20" s="130">
        <v>117</v>
      </c>
      <c r="N20" s="131">
        <f>IF(Tabela13[[#This Row],[INSCRITOS - Escola de Inovadores - 2°Semestre 2024]]&lt;L20, 0,1)</f>
        <v>1</v>
      </c>
      <c r="O20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20" s="130">
        <v>46</v>
      </c>
      <c r="Q20" s="131">
        <f>IFERROR(IF(Tabela13[[#This Row],[Taxa de Inscritos 2° Semestre 2024]]=0, 0, MIN(1,Tabela13[[#This Row],[CONCLUINTES ESCOLA DE INOVADORES - 2° Semestre 2024]]/Tabela13[[#This Row],[Linha de Base (7,5%) 2°Semestre]])),0)</f>
        <v>0.66594281577994929</v>
      </c>
      <c r="R20" s="132">
        <f>IF(Tabela13[[#This Row],[X = Percentual de inscritos na escola de inovadores para o cumprimento de meta ( Peso 0,60) 2°Semestre]]=0, 0, ROUND(Tabela13[[#This Row],[Percentual CONCLUINTES - Escola de Inovadores 2024 2°Semestre]]*0.4,1))</f>
        <v>0.3</v>
      </c>
      <c r="S20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0.7959275206315034</v>
      </c>
      <c r="T20" s="133">
        <f t="shared" si="0"/>
        <v>0.8</v>
      </c>
    </row>
    <row r="21" spans="1:20">
      <c r="A21" s="80">
        <v>126</v>
      </c>
      <c r="B21" s="619" t="s">
        <v>486</v>
      </c>
      <c r="C21" s="123">
        <v>905</v>
      </c>
      <c r="D21" s="124">
        <f>Tabela13[[#This Row],[Matrículas de alunos em Curso 1° Semestre 2024]]*0.075</f>
        <v>67.875</v>
      </c>
      <c r="E21" s="125">
        <v>86</v>
      </c>
      <c r="F21" s="126">
        <f>IF(Tabela13[[#This Row],[INSCRITOS - Escola de Inovadores - 1° Semestre 2024]]&lt;Tabela13[[#This Row],[Linha de Base (7,5%) 1°Semestre]], 0,1)</f>
        <v>1</v>
      </c>
      <c r="G21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21" s="128">
        <v>1</v>
      </c>
      <c r="I21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1.4732965009208104E-2</v>
      </c>
      <c r="J21" s="127">
        <f>IF(Tabela13[[#This Row],[X = Percentual de inscritos na escola de inovadores para o cumprimento de meta ( Peso 0,60)]]=0, 0, Tabela13[[#This Row],[Percentual CONCLUINTES - Escola de Inovadores 2024]]*0.4)</f>
        <v>5.893186003683242E-3</v>
      </c>
      <c r="K21" s="123">
        <v>886</v>
      </c>
      <c r="L21" s="129">
        <f>Tabela13[[#This Row],[Matriculados 2°Semestre em Curso]]*7.5%</f>
        <v>66.45</v>
      </c>
      <c r="M21" s="130">
        <v>102</v>
      </c>
      <c r="N21" s="131">
        <f>IF(Tabela13[[#This Row],[INSCRITOS - Escola de Inovadores - 2°Semestre 2024]]&lt;L21, 0,1)</f>
        <v>1</v>
      </c>
      <c r="O21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21" s="130">
        <v>4</v>
      </c>
      <c r="Q21" s="131">
        <f>IFERROR(IF(Tabela13[[#This Row],[Taxa de Inscritos 2° Semestre 2024]]=0, 0, MIN(1,Tabela13[[#This Row],[CONCLUINTES ESCOLA DE INOVADORES - 2° Semestre 2024]]/Tabela13[[#This Row],[Linha de Base (7,5%) 2°Semestre]])),0)</f>
        <v>6.019563581640331E-2</v>
      </c>
      <c r="R21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21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0.60294659300184161</v>
      </c>
      <c r="T21" s="133">
        <f t="shared" si="0"/>
        <v>0.7</v>
      </c>
    </row>
    <row r="22" spans="1:20">
      <c r="A22" s="80">
        <v>127</v>
      </c>
      <c r="B22" s="619" t="s">
        <v>487</v>
      </c>
      <c r="C22" s="123">
        <v>645</v>
      </c>
      <c r="D22" s="124">
        <f>Tabela13[[#This Row],[Matrículas de alunos em Curso 1° Semestre 2024]]*0.075</f>
        <v>48.375</v>
      </c>
      <c r="E22" s="125">
        <v>136</v>
      </c>
      <c r="F22" s="126">
        <f>IF(Tabela13[[#This Row],[INSCRITOS - Escola de Inovadores - 1° Semestre 2024]]&lt;Tabela13[[#This Row],[Linha de Base (7,5%) 1°Semestre]], 0,1)</f>
        <v>1</v>
      </c>
      <c r="G22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22" s="128">
        <v>21</v>
      </c>
      <c r="I22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0.43410852713178294</v>
      </c>
      <c r="J22" s="127">
        <f>IF(Tabela13[[#This Row],[X = Percentual de inscritos na escola de inovadores para o cumprimento de meta ( Peso 0,60)]]=0, 0, Tabela13[[#This Row],[Percentual CONCLUINTES - Escola de Inovadores 2024]]*0.4)</f>
        <v>0.17364341085271318</v>
      </c>
      <c r="K22" s="123">
        <v>681</v>
      </c>
      <c r="L22" s="129">
        <f>Tabela13[[#This Row],[Matriculados 2°Semestre em Curso]]*7.5%</f>
        <v>51.074999999999996</v>
      </c>
      <c r="M22" s="130">
        <v>149</v>
      </c>
      <c r="N22" s="131">
        <f>IF(Tabela13[[#This Row],[INSCRITOS - Escola de Inovadores - 2°Semestre 2024]]&lt;L22, 0,1)</f>
        <v>1</v>
      </c>
      <c r="O22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22" s="130">
        <v>32</v>
      </c>
      <c r="Q22" s="131">
        <f>IFERROR(IF(Tabela13[[#This Row],[Taxa de Inscritos 2° Semestre 2024]]=0, 0, MIN(1,Tabela13[[#This Row],[CONCLUINTES ESCOLA DE INOVADORES - 2° Semestre 2024]]/Tabela13[[#This Row],[Linha de Base (7,5%) 2°Semestre]])),0)</f>
        <v>0.62652961331375434</v>
      </c>
      <c r="R22" s="132">
        <f>IF(Tabela13[[#This Row],[X = Percentual de inscritos na escola de inovadores para o cumprimento de meta ( Peso 0,60) 2°Semestre]]=0, 0, ROUND(Tabela13[[#This Row],[Percentual CONCLUINTES - Escola de Inovadores 2024 2°Semestre]]*0.4,1))</f>
        <v>0.3</v>
      </c>
      <c r="S22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0.83682170542635659</v>
      </c>
      <c r="T22" s="133">
        <f t="shared" si="0"/>
        <v>1</v>
      </c>
    </row>
    <row r="23" spans="1:20">
      <c r="A23" s="80">
        <v>129</v>
      </c>
      <c r="B23" s="619" t="s">
        <v>488</v>
      </c>
      <c r="C23" s="123">
        <v>1570</v>
      </c>
      <c r="D23" s="124">
        <f>Tabela13[[#This Row],[Matrículas de alunos em Curso 1° Semestre 2024]]*0.075</f>
        <v>117.75</v>
      </c>
      <c r="E23" s="125">
        <v>36</v>
      </c>
      <c r="F23" s="126">
        <f>IF(Tabela13[[#This Row],[INSCRITOS - Escola de Inovadores - 1° Semestre 2024]]&lt;Tabela13[[#This Row],[Linha de Base (7,5%) 1°Semestre]], 0,1)</f>
        <v>0</v>
      </c>
      <c r="G23" s="127">
        <f>MIN(IF(Tabela13[[#This Row],[INSCRITOS - Escola de Inovadores - 1° Semestre 2024]]&gt;Tabela13[[#This Row],[Linha de Base (7,5%) 1°Semestre]],0.6*Tabela13[[#This Row],[Percentual INSCRITOS - Escola de Inovadores - 2024]],0),1)</f>
        <v>0</v>
      </c>
      <c r="H23" s="128">
        <v>5</v>
      </c>
      <c r="I23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</v>
      </c>
      <c r="J23" s="127">
        <f>IF(Tabela13[[#This Row],[X = Percentual de inscritos na escola de inovadores para o cumprimento de meta ( Peso 0,60)]]=0, 0, Tabela13[[#This Row],[Percentual CONCLUINTES - Escola de Inovadores 2024]]*0.4)</f>
        <v>0</v>
      </c>
      <c r="K23" s="123">
        <v>1574</v>
      </c>
      <c r="L23" s="129">
        <f>Tabela13[[#This Row],[Matriculados 2°Semestre em Curso]]*7.5%</f>
        <v>118.05</v>
      </c>
      <c r="M23" s="130">
        <v>69</v>
      </c>
      <c r="N23" s="131">
        <f>IF(Tabela13[[#This Row],[INSCRITOS - Escola de Inovadores - 2°Semestre 2024]]&lt;L23, 0,1)</f>
        <v>0</v>
      </c>
      <c r="O23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23" s="130">
        <v>12</v>
      </c>
      <c r="Q23" s="131">
        <f>IFERROR(IF(Tabela13[[#This Row],[Taxa de Inscritos 2° Semestre 2024]]=0, 0, MIN(1,Tabela13[[#This Row],[CONCLUINTES ESCOLA DE INOVADORES - 2° Semestre 2024]]/Tabela13[[#This Row],[Linha de Base (7,5%) 2°Semestre]])),0)</f>
        <v>0</v>
      </c>
      <c r="R23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23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</v>
      </c>
      <c r="T23" s="133">
        <f t="shared" si="0"/>
        <v>0</v>
      </c>
    </row>
    <row r="24" spans="1:20">
      <c r="A24" s="80">
        <v>130</v>
      </c>
      <c r="B24" s="619" t="s">
        <v>489</v>
      </c>
      <c r="C24" s="123">
        <v>463</v>
      </c>
      <c r="D24" s="124">
        <f>Tabela13[[#This Row],[Matrículas de alunos em Curso 1° Semestre 2024]]*0.075</f>
        <v>34.725000000000001</v>
      </c>
      <c r="E24" s="125">
        <v>14</v>
      </c>
      <c r="F24" s="126">
        <f>IF(Tabela13[[#This Row],[INSCRITOS - Escola de Inovadores - 1° Semestre 2024]]&lt;Tabela13[[#This Row],[Linha de Base (7,5%) 1°Semestre]], 0,1)</f>
        <v>0</v>
      </c>
      <c r="G24" s="127">
        <f>MIN(IF(Tabela13[[#This Row],[INSCRITOS - Escola de Inovadores - 1° Semestre 2024]]&gt;Tabela13[[#This Row],[Linha de Base (7,5%) 1°Semestre]],0.6*Tabela13[[#This Row],[Percentual INSCRITOS - Escola de Inovadores - 2024]],0),1)</f>
        <v>0</v>
      </c>
      <c r="H24" s="128">
        <v>1</v>
      </c>
      <c r="I24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</v>
      </c>
      <c r="J24" s="127">
        <f>IF(Tabela13[[#This Row],[X = Percentual de inscritos na escola de inovadores para o cumprimento de meta ( Peso 0,60)]]=0, 0, Tabela13[[#This Row],[Percentual CONCLUINTES - Escola de Inovadores 2024]]*0.4)</f>
        <v>0</v>
      </c>
      <c r="K24" s="123">
        <v>475</v>
      </c>
      <c r="L24" s="129">
        <f>Tabela13[[#This Row],[Matriculados 2°Semestre em Curso]]*7.5%</f>
        <v>35.625</v>
      </c>
      <c r="M24" s="130">
        <v>40</v>
      </c>
      <c r="N24" s="131">
        <f>IF(Tabela13[[#This Row],[INSCRITOS - Escola de Inovadores - 2°Semestre 2024]]&lt;L24, 0,1)</f>
        <v>1</v>
      </c>
      <c r="O24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24" s="130">
        <v>0</v>
      </c>
      <c r="Q24" s="131">
        <f>IFERROR(IF(Tabela13[[#This Row],[Taxa de Inscritos 2° Semestre 2024]]=0, 0, MIN(1,Tabela13[[#This Row],[CONCLUINTES ESCOLA DE INOVADORES - 2° Semestre 2024]]/Tabela13[[#This Row],[Linha de Base (7,5%) 2°Semestre]])),0)</f>
        <v>0</v>
      </c>
      <c r="R24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24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</v>
      </c>
      <c r="T24" s="133">
        <f t="shared" si="0"/>
        <v>0</v>
      </c>
    </row>
    <row r="25" spans="1:20">
      <c r="A25" s="80">
        <v>131</v>
      </c>
      <c r="B25" s="619" t="s">
        <v>490</v>
      </c>
      <c r="C25" s="123">
        <v>1214</v>
      </c>
      <c r="D25" s="124">
        <f>Tabela13[[#This Row],[Matrículas de alunos em Curso 1° Semestre 2024]]*0.075</f>
        <v>91.05</v>
      </c>
      <c r="E25" s="125">
        <v>72</v>
      </c>
      <c r="F25" s="126">
        <f>IF(Tabela13[[#This Row],[INSCRITOS - Escola de Inovadores - 1° Semestre 2024]]&lt;Tabela13[[#This Row],[Linha de Base (7,5%) 1°Semestre]], 0,1)</f>
        <v>0</v>
      </c>
      <c r="G25" s="127">
        <f>MIN(IF(Tabela13[[#This Row],[INSCRITOS - Escola de Inovadores - 1° Semestre 2024]]&gt;Tabela13[[#This Row],[Linha de Base (7,5%) 1°Semestre]],0.6*Tabela13[[#This Row],[Percentual INSCRITOS - Escola de Inovadores - 2024]],0),1)</f>
        <v>0</v>
      </c>
      <c r="H25" s="128">
        <v>1</v>
      </c>
      <c r="I25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</v>
      </c>
      <c r="J25" s="127">
        <f>IF(Tabela13[[#This Row],[X = Percentual de inscritos na escola de inovadores para o cumprimento de meta ( Peso 0,60)]]=0, 0, Tabela13[[#This Row],[Percentual CONCLUINTES - Escola de Inovadores 2024]]*0.4)</f>
        <v>0</v>
      </c>
      <c r="K25" s="123">
        <v>1181</v>
      </c>
      <c r="L25" s="129">
        <f>Tabela13[[#This Row],[Matriculados 2°Semestre em Curso]]*7.5%</f>
        <v>88.575000000000003</v>
      </c>
      <c r="M25" s="130">
        <v>3</v>
      </c>
      <c r="N25" s="131">
        <f>IF(Tabela13[[#This Row],[INSCRITOS - Escola de Inovadores - 2°Semestre 2024]]&lt;L25, 0,1)</f>
        <v>0</v>
      </c>
      <c r="O25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25" s="130">
        <v>1</v>
      </c>
      <c r="Q25" s="131">
        <f>IFERROR(IF(Tabela13[[#This Row],[Taxa de Inscritos 2° Semestre 2024]]=0, 0, MIN(1,Tabela13[[#This Row],[CONCLUINTES ESCOLA DE INOVADORES - 2° Semestre 2024]]/Tabela13[[#This Row],[Linha de Base (7,5%) 2°Semestre]])),0)</f>
        <v>0</v>
      </c>
      <c r="R25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25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</v>
      </c>
      <c r="T25" s="133">
        <f t="shared" si="0"/>
        <v>0</v>
      </c>
    </row>
    <row r="26" spans="1:20">
      <c r="A26" s="80">
        <v>132</v>
      </c>
      <c r="B26" s="619" t="s">
        <v>491</v>
      </c>
      <c r="C26" s="123">
        <v>1571</v>
      </c>
      <c r="D26" s="124">
        <f>Tabela13[[#This Row],[Matrículas de alunos em Curso 1° Semestre 2024]]*0.075</f>
        <v>117.82499999999999</v>
      </c>
      <c r="E26" s="125">
        <v>106</v>
      </c>
      <c r="F26" s="126">
        <f>IF(Tabela13[[#This Row],[INSCRITOS - Escola de Inovadores - 1° Semestre 2024]]&lt;Tabela13[[#This Row],[Linha de Base (7,5%) 1°Semestre]], 0,1)</f>
        <v>0</v>
      </c>
      <c r="G26" s="127">
        <f>MIN(IF(Tabela13[[#This Row],[INSCRITOS - Escola de Inovadores - 1° Semestre 2024]]&gt;Tabela13[[#This Row],[Linha de Base (7,5%) 1°Semestre]],0.6*Tabela13[[#This Row],[Percentual INSCRITOS - Escola de Inovadores - 2024]],0),1)</f>
        <v>0</v>
      </c>
      <c r="H26" s="128">
        <v>70</v>
      </c>
      <c r="I26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</v>
      </c>
      <c r="J26" s="127">
        <f>IF(Tabela13[[#This Row],[X = Percentual de inscritos na escola de inovadores para o cumprimento de meta ( Peso 0,60)]]=0, 0, Tabela13[[#This Row],[Percentual CONCLUINTES - Escola de Inovadores 2024]]*0.4)</f>
        <v>0</v>
      </c>
      <c r="K26" s="123">
        <v>1498</v>
      </c>
      <c r="L26" s="129">
        <f>Tabela13[[#This Row],[Matriculados 2°Semestre em Curso]]*7.5%</f>
        <v>112.35</v>
      </c>
      <c r="M26" s="130">
        <v>65</v>
      </c>
      <c r="N26" s="131">
        <f>IF(Tabela13[[#This Row],[INSCRITOS - Escola de Inovadores - 2°Semestre 2024]]&lt;L26, 0,1)</f>
        <v>0</v>
      </c>
      <c r="O26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26" s="130">
        <v>46</v>
      </c>
      <c r="Q26" s="131">
        <f>IFERROR(IF(Tabela13[[#This Row],[Taxa de Inscritos 2° Semestre 2024]]=0, 0, MIN(1,Tabela13[[#This Row],[CONCLUINTES ESCOLA DE INOVADORES - 2° Semestre 2024]]/Tabela13[[#This Row],[Linha de Base (7,5%) 2°Semestre]])),0)</f>
        <v>0</v>
      </c>
      <c r="R26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26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</v>
      </c>
      <c r="T26" s="133">
        <f t="shared" si="0"/>
        <v>0</v>
      </c>
    </row>
    <row r="27" spans="1:20">
      <c r="A27" s="80">
        <v>133</v>
      </c>
      <c r="B27" s="619" t="s">
        <v>492</v>
      </c>
      <c r="C27" s="123">
        <v>752</v>
      </c>
      <c r="D27" s="124">
        <f>Tabela13[[#This Row],[Matrículas de alunos em Curso 1° Semestre 2024]]*0.075</f>
        <v>56.4</v>
      </c>
      <c r="E27" s="125">
        <v>49</v>
      </c>
      <c r="F27" s="126">
        <f>IF(Tabela13[[#This Row],[INSCRITOS - Escola de Inovadores - 1° Semestre 2024]]&lt;Tabela13[[#This Row],[Linha de Base (7,5%) 1°Semestre]], 0,1)</f>
        <v>0</v>
      </c>
      <c r="G27" s="127">
        <f>MIN(IF(Tabela13[[#This Row],[INSCRITOS - Escola de Inovadores - 1° Semestre 2024]]&gt;Tabela13[[#This Row],[Linha de Base (7,5%) 1°Semestre]],0.6*Tabela13[[#This Row],[Percentual INSCRITOS - Escola de Inovadores - 2024]],0),1)</f>
        <v>0</v>
      </c>
      <c r="H27" s="128">
        <v>31</v>
      </c>
      <c r="I27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</v>
      </c>
      <c r="J27" s="127">
        <f>IF(Tabela13[[#This Row],[X = Percentual de inscritos na escola de inovadores para o cumprimento de meta ( Peso 0,60)]]=0, 0, Tabela13[[#This Row],[Percentual CONCLUINTES - Escola de Inovadores 2024]]*0.4)</f>
        <v>0</v>
      </c>
      <c r="K27" s="123">
        <v>637</v>
      </c>
      <c r="L27" s="129">
        <f>Tabela13[[#This Row],[Matriculados 2°Semestre em Curso]]*7.5%</f>
        <v>47.774999999999999</v>
      </c>
      <c r="M27" s="130">
        <v>31</v>
      </c>
      <c r="N27" s="131">
        <f>IF(Tabela13[[#This Row],[INSCRITOS - Escola de Inovadores - 2°Semestre 2024]]&lt;L27, 0,1)</f>
        <v>0</v>
      </c>
      <c r="O27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27" s="130">
        <v>15</v>
      </c>
      <c r="Q27" s="131">
        <f>IFERROR(IF(Tabela13[[#This Row],[Taxa de Inscritos 2° Semestre 2024]]=0, 0, MIN(1,Tabela13[[#This Row],[CONCLUINTES ESCOLA DE INOVADORES - 2° Semestre 2024]]/Tabela13[[#This Row],[Linha de Base (7,5%) 2°Semestre]])),0)</f>
        <v>0</v>
      </c>
      <c r="R27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27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</v>
      </c>
      <c r="T27" s="133">
        <f t="shared" si="0"/>
        <v>0</v>
      </c>
    </row>
    <row r="28" spans="1:20">
      <c r="A28" s="80">
        <v>137</v>
      </c>
      <c r="B28" s="619" t="s">
        <v>493</v>
      </c>
      <c r="C28" s="123">
        <v>1621</v>
      </c>
      <c r="D28" s="124">
        <f>Tabela13[[#This Row],[Matrículas de alunos em Curso 1° Semestre 2024]]*0.075</f>
        <v>121.57499999999999</v>
      </c>
      <c r="E28" s="125">
        <v>149</v>
      </c>
      <c r="F28" s="126">
        <f>IF(Tabela13[[#This Row],[INSCRITOS - Escola de Inovadores - 1° Semestre 2024]]&lt;Tabela13[[#This Row],[Linha de Base (7,5%) 1°Semestre]], 0,1)</f>
        <v>1</v>
      </c>
      <c r="G28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28" s="128">
        <v>75</v>
      </c>
      <c r="I28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0.61690314620604569</v>
      </c>
      <c r="J28" s="127">
        <f>IF(Tabela13[[#This Row],[X = Percentual de inscritos na escola de inovadores para o cumprimento de meta ( Peso 0,60)]]=0, 0, Tabela13[[#This Row],[Percentual CONCLUINTES - Escola de Inovadores 2024]]*0.4)</f>
        <v>0.24676125848241828</v>
      </c>
      <c r="K28" s="123">
        <v>1221</v>
      </c>
      <c r="L28" s="129">
        <f>Tabela13[[#This Row],[Matriculados 2°Semestre em Curso]]*7.5%</f>
        <v>91.575000000000003</v>
      </c>
      <c r="M28" s="130">
        <v>179</v>
      </c>
      <c r="N28" s="131">
        <f>IF(Tabela13[[#This Row],[INSCRITOS - Escola de Inovadores - 2°Semestre 2024]]&lt;L28, 0,1)</f>
        <v>1</v>
      </c>
      <c r="O28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28" s="130">
        <v>93</v>
      </c>
      <c r="Q28" s="131">
        <f>IFERROR(IF(Tabela13[[#This Row],[Taxa de Inscritos 2° Semestre 2024]]=0, 0, MIN(1,Tabela13[[#This Row],[CONCLUINTES ESCOLA DE INOVADORES - 2° Semestre 2024]]/Tabela13[[#This Row],[Linha de Base (7,5%) 2°Semestre]])),0)</f>
        <v>1</v>
      </c>
      <c r="R28" s="132">
        <f>IF(Tabela13[[#This Row],[X = Percentual de inscritos na escola de inovadores para o cumprimento de meta ( Peso 0,60) 2°Semestre]]=0, 0, ROUND(Tabela13[[#This Row],[Percentual CONCLUINTES - Escola de Inovadores 2024 2°Semestre]]*0.4,1))</f>
        <v>0.4</v>
      </c>
      <c r="S28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0.92338062924120901</v>
      </c>
      <c r="T28" s="133">
        <f t="shared" si="0"/>
        <v>1</v>
      </c>
    </row>
    <row r="29" spans="1:20">
      <c r="A29" s="80">
        <v>143</v>
      </c>
      <c r="B29" s="619" t="s">
        <v>494</v>
      </c>
      <c r="C29" s="123">
        <v>1553</v>
      </c>
      <c r="D29" s="124">
        <f>Tabela13[[#This Row],[Matrículas de alunos em Curso 1° Semestre 2024]]*0.075</f>
        <v>116.47499999999999</v>
      </c>
      <c r="E29" s="125">
        <v>70</v>
      </c>
      <c r="F29" s="126">
        <f>IF(Tabela13[[#This Row],[INSCRITOS - Escola de Inovadores - 1° Semestre 2024]]&lt;Tabela13[[#This Row],[Linha de Base (7,5%) 1°Semestre]], 0,1)</f>
        <v>0</v>
      </c>
      <c r="G29" s="127">
        <f>MIN(IF(Tabela13[[#This Row],[INSCRITOS - Escola de Inovadores - 1° Semestre 2024]]&gt;Tabela13[[#This Row],[Linha de Base (7,5%) 1°Semestre]],0.6*Tabela13[[#This Row],[Percentual INSCRITOS - Escola de Inovadores - 2024]],0),1)</f>
        <v>0</v>
      </c>
      <c r="H29" s="128">
        <v>6</v>
      </c>
      <c r="I29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</v>
      </c>
      <c r="J29" s="127">
        <f>IF(Tabela13[[#This Row],[X = Percentual de inscritos na escola de inovadores para o cumprimento de meta ( Peso 0,60)]]=0, 0, Tabela13[[#This Row],[Percentual CONCLUINTES - Escola de Inovadores 2024]]*0.4)</f>
        <v>0</v>
      </c>
      <c r="K29" s="123">
        <v>1520</v>
      </c>
      <c r="L29" s="129">
        <f>Tabela13[[#This Row],[Matriculados 2°Semestre em Curso]]*7.5%</f>
        <v>114</v>
      </c>
      <c r="M29" s="130">
        <v>26</v>
      </c>
      <c r="N29" s="131">
        <f>IF(Tabela13[[#This Row],[INSCRITOS - Escola de Inovadores - 2°Semestre 2024]]&lt;L29, 0,1)</f>
        <v>0</v>
      </c>
      <c r="O29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29" s="130">
        <v>12</v>
      </c>
      <c r="Q29" s="131">
        <f>IFERROR(IF(Tabela13[[#This Row],[Taxa de Inscritos 2° Semestre 2024]]=0, 0, MIN(1,Tabela13[[#This Row],[CONCLUINTES ESCOLA DE INOVADORES - 2° Semestre 2024]]/Tabela13[[#This Row],[Linha de Base (7,5%) 2°Semestre]])),0)</f>
        <v>0</v>
      </c>
      <c r="R29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29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</v>
      </c>
      <c r="T29" s="133">
        <f t="shared" si="0"/>
        <v>0</v>
      </c>
    </row>
    <row r="30" spans="1:20">
      <c r="A30" s="80">
        <v>146</v>
      </c>
      <c r="B30" s="619" t="s">
        <v>495</v>
      </c>
      <c r="C30" s="123">
        <v>1653</v>
      </c>
      <c r="D30" s="124">
        <f>Tabela13[[#This Row],[Matrículas de alunos em Curso 1° Semestre 2024]]*0.075</f>
        <v>123.97499999999999</v>
      </c>
      <c r="E30" s="125">
        <v>217</v>
      </c>
      <c r="F30" s="126">
        <f>IF(Tabela13[[#This Row],[INSCRITOS - Escola de Inovadores - 1° Semestre 2024]]&lt;Tabela13[[#This Row],[Linha de Base (7,5%) 1°Semestre]], 0,1)</f>
        <v>1</v>
      </c>
      <c r="G30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30" s="128">
        <v>152</v>
      </c>
      <c r="I30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1</v>
      </c>
      <c r="J30" s="127">
        <f>IF(Tabela13[[#This Row],[X = Percentual de inscritos na escola de inovadores para o cumprimento de meta ( Peso 0,60)]]=0, 0, Tabela13[[#This Row],[Percentual CONCLUINTES - Escola de Inovadores 2024]]*0.4)</f>
        <v>0.4</v>
      </c>
      <c r="K30" s="123">
        <v>1635</v>
      </c>
      <c r="L30" s="129">
        <f>Tabela13[[#This Row],[Matriculados 2°Semestre em Curso]]*7.5%</f>
        <v>122.625</v>
      </c>
      <c r="M30" s="130">
        <v>220</v>
      </c>
      <c r="N30" s="131">
        <f>IF(Tabela13[[#This Row],[INSCRITOS - Escola de Inovadores - 2°Semestre 2024]]&lt;L30, 0,1)</f>
        <v>1</v>
      </c>
      <c r="O30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30" s="130">
        <v>158</v>
      </c>
      <c r="Q30" s="131">
        <f>IFERROR(IF(Tabela13[[#This Row],[Taxa de Inscritos 2° Semestre 2024]]=0, 0, MIN(1,Tabela13[[#This Row],[CONCLUINTES ESCOLA DE INOVADORES - 2° Semestre 2024]]/Tabela13[[#This Row],[Linha de Base (7,5%) 2°Semestre]])),0)</f>
        <v>1</v>
      </c>
      <c r="R30" s="132">
        <f>IF(Tabela13[[#This Row],[X = Percentual de inscritos na escola de inovadores para o cumprimento de meta ( Peso 0,60) 2°Semestre]]=0, 0, ROUND(Tabela13[[#This Row],[Percentual CONCLUINTES - Escola de Inovadores 2024 2°Semestre]]*0.4,1))</f>
        <v>0.4</v>
      </c>
      <c r="S30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1</v>
      </c>
      <c r="T30" s="133">
        <f t="shared" si="0"/>
        <v>1</v>
      </c>
    </row>
    <row r="31" spans="1:20">
      <c r="A31" s="80">
        <v>155</v>
      </c>
      <c r="B31" s="619" t="s">
        <v>496</v>
      </c>
      <c r="C31" s="123">
        <v>770</v>
      </c>
      <c r="D31" s="124">
        <f>Tabela13[[#This Row],[Matrículas de alunos em Curso 1° Semestre 2024]]*0.075</f>
        <v>57.75</v>
      </c>
      <c r="E31" s="125">
        <v>31</v>
      </c>
      <c r="F31" s="126">
        <f>IF(Tabela13[[#This Row],[INSCRITOS - Escola de Inovadores - 1° Semestre 2024]]&lt;Tabela13[[#This Row],[Linha de Base (7,5%) 1°Semestre]], 0,1)</f>
        <v>0</v>
      </c>
      <c r="G31" s="127">
        <f>MIN(IF(Tabela13[[#This Row],[INSCRITOS - Escola de Inovadores - 1° Semestre 2024]]&gt;Tabela13[[#This Row],[Linha de Base (7,5%) 1°Semestre]],0.6*Tabela13[[#This Row],[Percentual INSCRITOS - Escola de Inovadores - 2024]],0),1)</f>
        <v>0</v>
      </c>
      <c r="H31" s="128">
        <v>4</v>
      </c>
      <c r="I31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</v>
      </c>
      <c r="J31" s="127">
        <f>IF(Tabela13[[#This Row],[X = Percentual de inscritos na escola de inovadores para o cumprimento de meta ( Peso 0,60)]]=0, 0, Tabela13[[#This Row],[Percentual CONCLUINTES - Escola de Inovadores 2024]]*0.4)</f>
        <v>0</v>
      </c>
      <c r="K31" s="123">
        <v>672</v>
      </c>
      <c r="L31" s="129">
        <f>Tabela13[[#This Row],[Matriculados 2°Semestre em Curso]]*7.5%</f>
        <v>50.4</v>
      </c>
      <c r="M31" s="130">
        <v>53</v>
      </c>
      <c r="N31" s="131">
        <f>IF(Tabela13[[#This Row],[INSCRITOS - Escola de Inovadores - 2°Semestre 2024]]&lt;L31, 0,1)</f>
        <v>1</v>
      </c>
      <c r="O31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31" s="130">
        <v>9</v>
      </c>
      <c r="Q31" s="131">
        <f>IFERROR(IF(Tabela13[[#This Row],[Taxa de Inscritos 2° Semestre 2024]]=0, 0, MIN(1,Tabela13[[#This Row],[CONCLUINTES ESCOLA DE INOVADORES - 2° Semestre 2024]]/Tabela13[[#This Row],[Linha de Base (7,5%) 2°Semestre]])),0)</f>
        <v>0.17857142857142858</v>
      </c>
      <c r="R31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31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</v>
      </c>
      <c r="T31" s="133">
        <f t="shared" si="0"/>
        <v>0</v>
      </c>
    </row>
    <row r="32" spans="1:20">
      <c r="A32" s="80">
        <v>157</v>
      </c>
      <c r="B32" s="619" t="s">
        <v>497</v>
      </c>
      <c r="C32" s="123">
        <v>1154</v>
      </c>
      <c r="D32" s="124">
        <f>Tabela13[[#This Row],[Matrículas de alunos em Curso 1° Semestre 2024]]*0.075</f>
        <v>86.55</v>
      </c>
      <c r="E32" s="125">
        <v>176</v>
      </c>
      <c r="F32" s="126">
        <f>IF(Tabela13[[#This Row],[INSCRITOS - Escola de Inovadores - 1° Semestre 2024]]&lt;Tabela13[[#This Row],[Linha de Base (7,5%) 1°Semestre]], 0,1)</f>
        <v>1</v>
      </c>
      <c r="G32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32" s="128">
        <v>33</v>
      </c>
      <c r="I32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0.38128249566724437</v>
      </c>
      <c r="J32" s="127">
        <f>IF(Tabela13[[#This Row],[X = Percentual de inscritos na escola de inovadores para o cumprimento de meta ( Peso 0,60)]]=0, 0, Tabela13[[#This Row],[Percentual CONCLUINTES - Escola de Inovadores 2024]]*0.4)</f>
        <v>0.15251299826689776</v>
      </c>
      <c r="K32" s="123">
        <v>1093</v>
      </c>
      <c r="L32" s="129">
        <f>Tabela13[[#This Row],[Matriculados 2°Semestre em Curso]]*7.5%</f>
        <v>81.974999999999994</v>
      </c>
      <c r="M32" s="130">
        <v>129</v>
      </c>
      <c r="N32" s="131">
        <f>IF(Tabela13[[#This Row],[INSCRITOS - Escola de Inovadores - 2°Semestre 2024]]&lt;L32, 0,1)</f>
        <v>1</v>
      </c>
      <c r="O32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32" s="130">
        <v>9</v>
      </c>
      <c r="Q32" s="131">
        <f>IFERROR(IF(Tabela13[[#This Row],[Taxa de Inscritos 2° Semestre 2024]]=0, 0, MIN(1,Tabela13[[#This Row],[CONCLUINTES ESCOLA DE INOVADORES - 2° Semestre 2024]]/Tabela13[[#This Row],[Linha de Base (7,5%) 2°Semestre]])),0)</f>
        <v>0.10978956999085088</v>
      </c>
      <c r="R32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32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0.67625649913344887</v>
      </c>
      <c r="T32" s="133">
        <f t="shared" si="0"/>
        <v>0.7</v>
      </c>
    </row>
    <row r="33" spans="1:20">
      <c r="A33" s="80">
        <v>160</v>
      </c>
      <c r="B33" s="619" t="s">
        <v>498</v>
      </c>
      <c r="C33" s="123">
        <v>711</v>
      </c>
      <c r="D33" s="124">
        <f>Tabela13[[#This Row],[Matrículas de alunos em Curso 1° Semestre 2024]]*0.075</f>
        <v>53.324999999999996</v>
      </c>
      <c r="E33" s="125">
        <v>33</v>
      </c>
      <c r="F33" s="126">
        <f>IF(Tabela13[[#This Row],[INSCRITOS - Escola de Inovadores - 1° Semestre 2024]]&lt;Tabela13[[#This Row],[Linha de Base (7,5%) 1°Semestre]], 0,1)</f>
        <v>0</v>
      </c>
      <c r="G33" s="127">
        <f>MIN(IF(Tabela13[[#This Row],[INSCRITOS - Escola de Inovadores - 1° Semestre 2024]]&gt;Tabela13[[#This Row],[Linha de Base (7,5%) 1°Semestre]],0.6*Tabela13[[#This Row],[Percentual INSCRITOS - Escola de Inovadores - 2024]],0),1)</f>
        <v>0</v>
      </c>
      <c r="H33" s="128">
        <v>14</v>
      </c>
      <c r="I33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</v>
      </c>
      <c r="J33" s="127">
        <f>IF(Tabela13[[#This Row],[X = Percentual de inscritos na escola de inovadores para o cumprimento de meta ( Peso 0,60)]]=0, 0, Tabela13[[#This Row],[Percentual CONCLUINTES - Escola de Inovadores 2024]]*0.4)</f>
        <v>0</v>
      </c>
      <c r="K33" s="123">
        <v>700</v>
      </c>
      <c r="L33" s="129">
        <f>Tabela13[[#This Row],[Matriculados 2°Semestre em Curso]]*7.5%</f>
        <v>52.5</v>
      </c>
      <c r="M33" s="130">
        <v>46</v>
      </c>
      <c r="N33" s="131">
        <f>IF(Tabela13[[#This Row],[INSCRITOS - Escola de Inovadores - 2°Semestre 2024]]&lt;L33, 0,1)</f>
        <v>0</v>
      </c>
      <c r="O33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33" s="130">
        <v>30</v>
      </c>
      <c r="Q33" s="131">
        <f>IFERROR(IF(Tabela13[[#This Row],[Taxa de Inscritos 2° Semestre 2024]]=0, 0, MIN(1,Tabela13[[#This Row],[CONCLUINTES ESCOLA DE INOVADORES - 2° Semestre 2024]]/Tabela13[[#This Row],[Linha de Base (7,5%) 2°Semestre]])),0)</f>
        <v>0</v>
      </c>
      <c r="R33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33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</v>
      </c>
      <c r="T33" s="133">
        <f t="shared" si="0"/>
        <v>0</v>
      </c>
    </row>
    <row r="34" spans="1:20">
      <c r="A34" s="80">
        <v>163</v>
      </c>
      <c r="B34" s="619" t="s">
        <v>499</v>
      </c>
      <c r="C34" s="123">
        <v>798</v>
      </c>
      <c r="D34" s="124">
        <f>Tabela13[[#This Row],[Matrículas de alunos em Curso 1° Semestre 2024]]*0.075</f>
        <v>59.849999999999994</v>
      </c>
      <c r="E34" s="125">
        <v>74</v>
      </c>
      <c r="F34" s="126">
        <f>IF(Tabela13[[#This Row],[INSCRITOS - Escola de Inovadores - 1° Semestre 2024]]&lt;Tabela13[[#This Row],[Linha de Base (7,5%) 1°Semestre]], 0,1)</f>
        <v>1</v>
      </c>
      <c r="G34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34" s="128">
        <v>9</v>
      </c>
      <c r="I34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0.15037593984962408</v>
      </c>
      <c r="J34" s="127">
        <f>IF(Tabela13[[#This Row],[X = Percentual de inscritos na escola de inovadores para o cumprimento de meta ( Peso 0,60)]]=0, 0, Tabela13[[#This Row],[Percentual CONCLUINTES - Escola de Inovadores 2024]]*0.4)</f>
        <v>6.0150375939849635E-2</v>
      </c>
      <c r="K34" s="123">
        <v>783</v>
      </c>
      <c r="L34" s="129">
        <f>Tabela13[[#This Row],[Matriculados 2°Semestre em Curso]]*7.5%</f>
        <v>58.724999999999994</v>
      </c>
      <c r="M34" s="130">
        <v>67</v>
      </c>
      <c r="N34" s="131">
        <f>IF(Tabela13[[#This Row],[INSCRITOS - Escola de Inovadores - 2°Semestre 2024]]&lt;L34, 0,1)</f>
        <v>1</v>
      </c>
      <c r="O34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34" s="130">
        <v>3</v>
      </c>
      <c r="Q34" s="131">
        <f>IFERROR(IF(Tabela13[[#This Row],[Taxa de Inscritos 2° Semestre 2024]]=0, 0, MIN(1,Tabela13[[#This Row],[CONCLUINTES ESCOLA DE INOVADORES - 2° Semestre 2024]]/Tabela13[[#This Row],[Linha de Base (7,5%) 2°Semestre]])),0)</f>
        <v>5.108556832694764E-2</v>
      </c>
      <c r="R34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34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0.63007518796992479</v>
      </c>
      <c r="T34" s="133">
        <f t="shared" si="0"/>
        <v>0.7</v>
      </c>
    </row>
    <row r="35" spans="1:20">
      <c r="A35" s="80">
        <v>167</v>
      </c>
      <c r="B35" s="619" t="s">
        <v>500</v>
      </c>
      <c r="C35" s="123">
        <v>1050</v>
      </c>
      <c r="D35" s="124">
        <f>Tabela13[[#This Row],[Matrículas de alunos em Curso 1° Semestre 2024]]*0.075</f>
        <v>78.75</v>
      </c>
      <c r="E35" s="125">
        <v>47</v>
      </c>
      <c r="F35" s="126">
        <f>IF(Tabela13[[#This Row],[INSCRITOS - Escola de Inovadores - 1° Semestre 2024]]&lt;Tabela13[[#This Row],[Linha de Base (7,5%) 1°Semestre]], 0,1)</f>
        <v>0</v>
      </c>
      <c r="G35" s="127">
        <f>MIN(IF(Tabela13[[#This Row],[INSCRITOS - Escola de Inovadores - 1° Semestre 2024]]&gt;Tabela13[[#This Row],[Linha de Base (7,5%) 1°Semestre]],0.6*Tabela13[[#This Row],[Percentual INSCRITOS - Escola de Inovadores - 2024]],0),1)</f>
        <v>0</v>
      </c>
      <c r="H35" s="128">
        <v>11</v>
      </c>
      <c r="I35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</v>
      </c>
      <c r="J35" s="127">
        <f>IF(Tabela13[[#This Row],[X = Percentual de inscritos na escola de inovadores para o cumprimento de meta ( Peso 0,60)]]=0, 0, Tabela13[[#This Row],[Percentual CONCLUINTES - Escola de Inovadores 2024]]*0.4)</f>
        <v>0</v>
      </c>
      <c r="K35" s="123">
        <v>1041</v>
      </c>
      <c r="L35" s="129">
        <f>Tabela13[[#This Row],[Matriculados 2°Semestre em Curso]]*7.5%</f>
        <v>78.075000000000003</v>
      </c>
      <c r="M35" s="130">
        <v>37</v>
      </c>
      <c r="N35" s="131">
        <f>IF(Tabela13[[#This Row],[INSCRITOS - Escola de Inovadores - 2°Semestre 2024]]&lt;L35, 0,1)</f>
        <v>0</v>
      </c>
      <c r="O35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35" s="130">
        <v>1</v>
      </c>
      <c r="Q35" s="131">
        <f>IFERROR(IF(Tabela13[[#This Row],[Taxa de Inscritos 2° Semestre 2024]]=0, 0, MIN(1,Tabela13[[#This Row],[CONCLUINTES ESCOLA DE INOVADORES - 2° Semestre 2024]]/Tabela13[[#This Row],[Linha de Base (7,5%) 2°Semestre]])),0)</f>
        <v>0</v>
      </c>
      <c r="R35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35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</v>
      </c>
      <c r="T35" s="133">
        <f t="shared" si="0"/>
        <v>0</v>
      </c>
    </row>
    <row r="36" spans="1:20">
      <c r="A36" s="80">
        <v>168</v>
      </c>
      <c r="B36" s="619" t="s">
        <v>501</v>
      </c>
      <c r="C36" s="123">
        <v>1290</v>
      </c>
      <c r="D36" s="124">
        <f>Tabela13[[#This Row],[Matrículas de alunos em Curso 1° Semestre 2024]]*0.075</f>
        <v>96.75</v>
      </c>
      <c r="E36" s="125">
        <v>145</v>
      </c>
      <c r="F36" s="126">
        <f>IF(Tabela13[[#This Row],[INSCRITOS - Escola de Inovadores - 1° Semestre 2024]]&lt;Tabela13[[#This Row],[Linha de Base (7,5%) 1°Semestre]], 0,1)</f>
        <v>1</v>
      </c>
      <c r="G36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36" s="128">
        <v>123</v>
      </c>
      <c r="I36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1</v>
      </c>
      <c r="J36" s="127">
        <f>IF(Tabela13[[#This Row],[X = Percentual de inscritos na escola de inovadores para o cumprimento de meta ( Peso 0,60)]]=0, 0, Tabela13[[#This Row],[Percentual CONCLUINTES - Escola de Inovadores 2024]]*0.4)</f>
        <v>0.4</v>
      </c>
      <c r="K36" s="123">
        <v>1276</v>
      </c>
      <c r="L36" s="129">
        <f>Tabela13[[#This Row],[Matriculados 2°Semestre em Curso]]*7.5%</f>
        <v>95.7</v>
      </c>
      <c r="M36" s="130">
        <v>101</v>
      </c>
      <c r="N36" s="131">
        <f>IF(Tabela13[[#This Row],[INSCRITOS - Escola de Inovadores - 2°Semestre 2024]]&lt;L36, 0,1)</f>
        <v>1</v>
      </c>
      <c r="O36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36" s="130">
        <v>87</v>
      </c>
      <c r="Q36" s="131">
        <f>IFERROR(IF(Tabela13[[#This Row],[Taxa de Inscritos 2° Semestre 2024]]=0, 0, MIN(1,Tabela13[[#This Row],[CONCLUINTES ESCOLA DE INOVADORES - 2° Semestre 2024]]/Tabela13[[#This Row],[Linha de Base (7,5%) 2°Semestre]])),0)</f>
        <v>0.90909090909090906</v>
      </c>
      <c r="R36" s="132">
        <f>IF(Tabela13[[#This Row],[X = Percentual de inscritos na escola de inovadores para o cumprimento de meta ( Peso 0,60) 2°Semestre]]=0, 0, ROUND(Tabela13[[#This Row],[Percentual CONCLUINTES - Escola de Inovadores 2024 2°Semestre]]*0.4,1))</f>
        <v>0.4</v>
      </c>
      <c r="S36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1</v>
      </c>
      <c r="T36" s="133">
        <f t="shared" si="0"/>
        <v>1</v>
      </c>
    </row>
    <row r="37" spans="1:20">
      <c r="A37" s="80">
        <v>171</v>
      </c>
      <c r="B37" s="619" t="s">
        <v>502</v>
      </c>
      <c r="C37" s="123">
        <v>709</v>
      </c>
      <c r="D37" s="124">
        <f>Tabela13[[#This Row],[Matrículas de alunos em Curso 1° Semestre 2024]]*0.075</f>
        <v>53.174999999999997</v>
      </c>
      <c r="E37" s="125">
        <v>41</v>
      </c>
      <c r="F37" s="126">
        <f>IF(Tabela13[[#This Row],[INSCRITOS - Escola de Inovadores - 1° Semestre 2024]]&lt;Tabela13[[#This Row],[Linha de Base (7,5%) 1°Semestre]], 0,1)</f>
        <v>0</v>
      </c>
      <c r="G37" s="127">
        <f>MIN(IF(Tabela13[[#This Row],[INSCRITOS - Escola de Inovadores - 1° Semestre 2024]]&gt;Tabela13[[#This Row],[Linha de Base (7,5%) 1°Semestre]],0.6*Tabela13[[#This Row],[Percentual INSCRITOS - Escola de Inovadores - 2024]],0),1)</f>
        <v>0</v>
      </c>
      <c r="H37" s="128">
        <v>2</v>
      </c>
      <c r="I37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</v>
      </c>
      <c r="J37" s="127">
        <f>IF(Tabela13[[#This Row],[X = Percentual de inscritos na escola de inovadores para o cumprimento de meta ( Peso 0,60)]]=0, 0, Tabela13[[#This Row],[Percentual CONCLUINTES - Escola de Inovadores 2024]]*0.4)</f>
        <v>0</v>
      </c>
      <c r="K37" s="123">
        <v>714</v>
      </c>
      <c r="L37" s="129">
        <f>Tabela13[[#This Row],[Matriculados 2°Semestre em Curso]]*7.5%</f>
        <v>53.55</v>
      </c>
      <c r="M37" s="130">
        <v>144</v>
      </c>
      <c r="N37" s="131">
        <f>IF(Tabela13[[#This Row],[INSCRITOS - Escola de Inovadores - 2°Semestre 2024]]&lt;L37, 0,1)</f>
        <v>1</v>
      </c>
      <c r="O37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37" s="130">
        <v>26</v>
      </c>
      <c r="Q37" s="131">
        <f>IFERROR(IF(Tabela13[[#This Row],[Taxa de Inscritos 2° Semestre 2024]]=0, 0, MIN(1,Tabela13[[#This Row],[CONCLUINTES ESCOLA DE INOVADORES - 2° Semestre 2024]]/Tabela13[[#This Row],[Linha de Base (7,5%) 2°Semestre]])),0)</f>
        <v>0.48552754435107381</v>
      </c>
      <c r="R37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37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</v>
      </c>
      <c r="T37" s="133">
        <f t="shared" si="0"/>
        <v>0</v>
      </c>
    </row>
    <row r="38" spans="1:20">
      <c r="A38" s="80">
        <v>173</v>
      </c>
      <c r="B38" s="619" t="s">
        <v>503</v>
      </c>
      <c r="C38" s="123">
        <v>468</v>
      </c>
      <c r="D38" s="124">
        <f>Tabela13[[#This Row],[Matrículas de alunos em Curso 1° Semestre 2024]]*0.075</f>
        <v>35.1</v>
      </c>
      <c r="E38" s="125">
        <v>78</v>
      </c>
      <c r="F38" s="126">
        <f>IF(Tabela13[[#This Row],[INSCRITOS - Escola de Inovadores - 1° Semestre 2024]]&lt;Tabela13[[#This Row],[Linha de Base (7,5%) 1°Semestre]], 0,1)</f>
        <v>1</v>
      </c>
      <c r="G38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38" s="128">
        <v>32</v>
      </c>
      <c r="I38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0.9116809116809117</v>
      </c>
      <c r="J38" s="127">
        <f>IF(Tabela13[[#This Row],[X = Percentual de inscritos na escola de inovadores para o cumprimento de meta ( Peso 0,60)]]=0, 0, Tabela13[[#This Row],[Percentual CONCLUINTES - Escola de Inovadores 2024]]*0.4)</f>
        <v>0.36467236467236469</v>
      </c>
      <c r="K38" s="123">
        <v>363</v>
      </c>
      <c r="L38" s="129">
        <f>Tabela13[[#This Row],[Matriculados 2°Semestre em Curso]]*7.5%</f>
        <v>27.224999999999998</v>
      </c>
      <c r="M38" s="130">
        <v>94</v>
      </c>
      <c r="N38" s="131">
        <f>IF(Tabela13[[#This Row],[INSCRITOS - Escola de Inovadores - 2°Semestre 2024]]&lt;L38, 0,1)</f>
        <v>1</v>
      </c>
      <c r="O38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38" s="130">
        <v>26</v>
      </c>
      <c r="Q38" s="131">
        <f>IFERROR(IF(Tabela13[[#This Row],[Taxa de Inscritos 2° Semestre 2024]]=0, 0, MIN(1,Tabela13[[#This Row],[CONCLUINTES ESCOLA DE INOVADORES - 2° Semestre 2024]]/Tabela13[[#This Row],[Linha de Base (7,5%) 2°Semestre]])),0)</f>
        <v>0.9550045913682278</v>
      </c>
      <c r="R38" s="132">
        <f>IF(Tabela13[[#This Row],[X = Percentual de inscritos na escola de inovadores para o cumprimento de meta ( Peso 0,60) 2°Semestre]]=0, 0, ROUND(Tabela13[[#This Row],[Percentual CONCLUINTES - Escola de Inovadores 2024 2°Semestre]]*0.4,1))</f>
        <v>0.4</v>
      </c>
      <c r="S38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0.98233618233618225</v>
      </c>
      <c r="T38" s="133">
        <f t="shared" si="0"/>
        <v>1</v>
      </c>
    </row>
    <row r="39" spans="1:20">
      <c r="A39" s="80">
        <v>174</v>
      </c>
      <c r="B39" s="619" t="s">
        <v>504</v>
      </c>
      <c r="C39" s="123">
        <v>182</v>
      </c>
      <c r="D39" s="124">
        <f>Tabela13[[#This Row],[Matrículas de alunos em Curso 1° Semestre 2024]]*0.075</f>
        <v>13.65</v>
      </c>
      <c r="E39" s="125">
        <v>5</v>
      </c>
      <c r="F39" s="126">
        <f>IF(Tabela13[[#This Row],[INSCRITOS - Escola de Inovadores - 1° Semestre 2024]]&lt;Tabela13[[#This Row],[Linha de Base (7,5%) 1°Semestre]], 0,1)</f>
        <v>0</v>
      </c>
      <c r="G39" s="127">
        <f>MIN(IF(Tabela13[[#This Row],[INSCRITOS - Escola de Inovadores - 1° Semestre 2024]]&gt;Tabela13[[#This Row],[Linha de Base (7,5%) 1°Semestre]],0.6*Tabela13[[#This Row],[Percentual INSCRITOS - Escola de Inovadores - 2024]],0),1)</f>
        <v>0</v>
      </c>
      <c r="H39" s="128">
        <v>1</v>
      </c>
      <c r="I39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</v>
      </c>
      <c r="J39" s="127">
        <f>IF(Tabela13[[#This Row],[X = Percentual de inscritos na escola de inovadores para o cumprimento de meta ( Peso 0,60)]]=0, 0, Tabela13[[#This Row],[Percentual CONCLUINTES - Escola de Inovadores 2024]]*0.4)</f>
        <v>0</v>
      </c>
      <c r="K39" s="123">
        <v>183</v>
      </c>
      <c r="L39" s="129">
        <f>Tabela13[[#This Row],[Matriculados 2°Semestre em Curso]]*7.5%</f>
        <v>13.725</v>
      </c>
      <c r="M39" s="130">
        <v>24</v>
      </c>
      <c r="N39" s="131">
        <f>IF(Tabela13[[#This Row],[INSCRITOS - Escola de Inovadores - 2°Semestre 2024]]&lt;L39, 0,1)</f>
        <v>1</v>
      </c>
      <c r="O39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39" s="130">
        <v>2</v>
      </c>
      <c r="Q39" s="131">
        <f>IFERROR(IF(Tabela13[[#This Row],[Taxa de Inscritos 2° Semestre 2024]]=0, 0, MIN(1,Tabela13[[#This Row],[CONCLUINTES ESCOLA DE INOVADORES - 2° Semestre 2024]]/Tabela13[[#This Row],[Linha de Base (7,5%) 2°Semestre]])),0)</f>
        <v>0.14571948998178508</v>
      </c>
      <c r="R39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39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</v>
      </c>
      <c r="T39" s="133">
        <f t="shared" si="0"/>
        <v>0</v>
      </c>
    </row>
    <row r="40" spans="1:20">
      <c r="A40" s="80">
        <v>175</v>
      </c>
      <c r="B40" s="619" t="s">
        <v>505</v>
      </c>
      <c r="C40" s="123">
        <v>672</v>
      </c>
      <c r="D40" s="124">
        <f>Tabela13[[#This Row],[Matrículas de alunos em Curso 1° Semestre 2024]]*0.075</f>
        <v>50.4</v>
      </c>
      <c r="E40" s="125">
        <v>55</v>
      </c>
      <c r="F40" s="126">
        <f>IF(Tabela13[[#This Row],[INSCRITOS - Escola de Inovadores - 1° Semestre 2024]]&lt;Tabela13[[#This Row],[Linha de Base (7,5%) 1°Semestre]], 0,1)</f>
        <v>1</v>
      </c>
      <c r="G40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40" s="128">
        <v>16</v>
      </c>
      <c r="I40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0.31746031746031744</v>
      </c>
      <c r="J40" s="127">
        <f>IF(Tabela13[[#This Row],[X = Percentual de inscritos na escola de inovadores para o cumprimento de meta ( Peso 0,60)]]=0, 0, Tabela13[[#This Row],[Percentual CONCLUINTES - Escola de Inovadores 2024]]*0.4)</f>
        <v>0.12698412698412698</v>
      </c>
      <c r="K40" s="123">
        <v>643</v>
      </c>
      <c r="L40" s="129">
        <f>Tabela13[[#This Row],[Matriculados 2°Semestre em Curso]]*7.5%</f>
        <v>48.225000000000001</v>
      </c>
      <c r="M40" s="130">
        <v>44</v>
      </c>
      <c r="N40" s="131">
        <f>IF(Tabela13[[#This Row],[INSCRITOS - Escola de Inovadores - 2°Semestre 2024]]&lt;L40, 0,1)</f>
        <v>0</v>
      </c>
      <c r="O40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40" s="130">
        <v>28</v>
      </c>
      <c r="Q40" s="131">
        <f>IFERROR(IF(Tabela13[[#This Row],[Taxa de Inscritos 2° Semestre 2024]]=0, 0, MIN(1,Tabela13[[#This Row],[CONCLUINTES ESCOLA DE INOVADORES - 2° Semestre 2024]]/Tabela13[[#This Row],[Linha de Base (7,5%) 2°Semestre]])),0)</f>
        <v>0</v>
      </c>
      <c r="R40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40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0.36349206349206348</v>
      </c>
      <c r="T40" s="133">
        <f t="shared" si="0"/>
        <v>0</v>
      </c>
    </row>
    <row r="41" spans="1:20">
      <c r="A41" s="80">
        <v>176</v>
      </c>
      <c r="B41" s="619" t="s">
        <v>506</v>
      </c>
      <c r="C41" s="123">
        <v>888</v>
      </c>
      <c r="D41" s="124">
        <f>Tabela13[[#This Row],[Matrículas de alunos em Curso 1° Semestre 2024]]*0.075</f>
        <v>66.599999999999994</v>
      </c>
      <c r="E41" s="125">
        <v>74</v>
      </c>
      <c r="F41" s="126">
        <f>IF(Tabela13[[#This Row],[INSCRITOS - Escola de Inovadores - 1° Semestre 2024]]&lt;Tabela13[[#This Row],[Linha de Base (7,5%) 1°Semestre]], 0,1)</f>
        <v>1</v>
      </c>
      <c r="G41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41" s="128">
        <v>50</v>
      </c>
      <c r="I41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0.75075075075075082</v>
      </c>
      <c r="J41" s="127">
        <f>IF(Tabela13[[#This Row],[X = Percentual de inscritos na escola de inovadores para o cumprimento de meta ( Peso 0,60)]]=0, 0, Tabela13[[#This Row],[Percentual CONCLUINTES - Escola de Inovadores 2024]]*0.4)</f>
        <v>0.30030030030030036</v>
      </c>
      <c r="K41" s="123">
        <v>885</v>
      </c>
      <c r="L41" s="129">
        <f>Tabela13[[#This Row],[Matriculados 2°Semestre em Curso]]*7.5%</f>
        <v>66.375</v>
      </c>
      <c r="M41" s="130">
        <v>92</v>
      </c>
      <c r="N41" s="131">
        <f>IF(Tabela13[[#This Row],[INSCRITOS - Escola de Inovadores - 2°Semestre 2024]]&lt;L41, 0,1)</f>
        <v>1</v>
      </c>
      <c r="O41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41" s="130">
        <v>45</v>
      </c>
      <c r="Q41" s="131">
        <f>IFERROR(IF(Tabela13[[#This Row],[Taxa de Inscritos 2° Semestre 2024]]=0, 0, MIN(1,Tabela13[[#This Row],[CONCLUINTES ESCOLA DE INOVADORES - 2° Semestre 2024]]/Tabela13[[#This Row],[Linha de Base (7,5%) 2°Semestre]])),0)</f>
        <v>0.67796610169491522</v>
      </c>
      <c r="R41" s="132">
        <f>IF(Tabela13[[#This Row],[X = Percentual de inscritos na escola de inovadores para o cumprimento de meta ( Peso 0,60) 2°Semestre]]=0, 0, ROUND(Tabela13[[#This Row],[Percentual CONCLUINTES - Escola de Inovadores 2024 2°Semestre]]*0.4,1))</f>
        <v>0.3</v>
      </c>
      <c r="S41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0.90015015015015021</v>
      </c>
      <c r="T41" s="133">
        <f t="shared" si="0"/>
        <v>1</v>
      </c>
    </row>
    <row r="42" spans="1:20">
      <c r="A42" s="80">
        <v>177</v>
      </c>
      <c r="B42" s="619" t="s">
        <v>507</v>
      </c>
      <c r="C42" s="123">
        <v>295</v>
      </c>
      <c r="D42" s="124">
        <f>Tabela13[[#This Row],[Matrículas de alunos em Curso 1° Semestre 2024]]*0.075</f>
        <v>22.125</v>
      </c>
      <c r="E42" s="125">
        <v>65</v>
      </c>
      <c r="F42" s="126">
        <f>IF(Tabela13[[#This Row],[INSCRITOS - Escola de Inovadores - 1° Semestre 2024]]&lt;Tabela13[[#This Row],[Linha de Base (7,5%) 1°Semestre]], 0,1)</f>
        <v>1</v>
      </c>
      <c r="G42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42" s="128">
        <v>31</v>
      </c>
      <c r="I42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1</v>
      </c>
      <c r="J42" s="127">
        <f>IF(Tabela13[[#This Row],[X = Percentual de inscritos na escola de inovadores para o cumprimento de meta ( Peso 0,60)]]=0, 0, Tabela13[[#This Row],[Percentual CONCLUINTES - Escola de Inovadores 2024]]*0.4)</f>
        <v>0.4</v>
      </c>
      <c r="K42" s="123">
        <v>292</v>
      </c>
      <c r="L42" s="129">
        <f>Tabela13[[#This Row],[Matriculados 2°Semestre em Curso]]*7.5%</f>
        <v>21.9</v>
      </c>
      <c r="M42" s="130">
        <v>14</v>
      </c>
      <c r="N42" s="131">
        <f>IF(Tabela13[[#This Row],[INSCRITOS - Escola de Inovadores - 2°Semestre 2024]]&lt;L42, 0,1)</f>
        <v>0</v>
      </c>
      <c r="O42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42" s="130">
        <v>0</v>
      </c>
      <c r="Q42" s="131">
        <f>IFERROR(IF(Tabela13[[#This Row],[Taxa de Inscritos 2° Semestre 2024]]=0, 0, MIN(1,Tabela13[[#This Row],[CONCLUINTES ESCOLA DE INOVADORES - 2° Semestre 2024]]/Tabela13[[#This Row],[Linha de Base (7,5%) 2°Semestre]])),0)</f>
        <v>0</v>
      </c>
      <c r="R42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42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0.5</v>
      </c>
      <c r="T42" s="133">
        <f t="shared" si="0"/>
        <v>0.6</v>
      </c>
    </row>
    <row r="43" spans="1:20">
      <c r="A43" s="80">
        <v>178</v>
      </c>
      <c r="B43" s="619" t="s">
        <v>508</v>
      </c>
      <c r="C43" s="123">
        <v>845</v>
      </c>
      <c r="D43" s="124">
        <f>Tabela13[[#This Row],[Matrículas de alunos em Curso 1° Semestre 2024]]*0.075</f>
        <v>63.375</v>
      </c>
      <c r="E43" s="125">
        <v>35</v>
      </c>
      <c r="F43" s="126">
        <f>IF(Tabela13[[#This Row],[INSCRITOS - Escola de Inovadores - 1° Semestre 2024]]&lt;Tabela13[[#This Row],[Linha de Base (7,5%) 1°Semestre]], 0,1)</f>
        <v>0</v>
      </c>
      <c r="G43" s="127">
        <f>MIN(IF(Tabela13[[#This Row],[INSCRITOS - Escola de Inovadores - 1° Semestre 2024]]&gt;Tabela13[[#This Row],[Linha de Base (7,5%) 1°Semestre]],0.6*Tabela13[[#This Row],[Percentual INSCRITOS - Escola de Inovadores - 2024]],0),1)</f>
        <v>0</v>
      </c>
      <c r="H43" s="128">
        <v>0</v>
      </c>
      <c r="I43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</v>
      </c>
      <c r="J43" s="127">
        <f>IF(Tabela13[[#This Row],[X = Percentual de inscritos na escola de inovadores para o cumprimento de meta ( Peso 0,60)]]=0, 0, Tabela13[[#This Row],[Percentual CONCLUINTES - Escola de Inovadores 2024]]*0.4)</f>
        <v>0</v>
      </c>
      <c r="K43" s="123">
        <v>807</v>
      </c>
      <c r="L43" s="129">
        <f>Tabela13[[#This Row],[Matriculados 2°Semestre em Curso]]*7.5%</f>
        <v>60.524999999999999</v>
      </c>
      <c r="M43" s="130">
        <v>102</v>
      </c>
      <c r="N43" s="131">
        <f>IF(Tabela13[[#This Row],[INSCRITOS - Escola de Inovadores - 2°Semestre 2024]]&lt;L43, 0,1)</f>
        <v>1</v>
      </c>
      <c r="O43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43" s="130">
        <v>36</v>
      </c>
      <c r="Q43" s="131">
        <f>IFERROR(IF(Tabela13[[#This Row],[Taxa de Inscritos 2° Semestre 2024]]=0, 0, MIN(1,Tabela13[[#This Row],[CONCLUINTES ESCOLA DE INOVADORES - 2° Semestre 2024]]/Tabela13[[#This Row],[Linha de Base (7,5%) 2°Semestre]])),0)</f>
        <v>0.59479553903345728</v>
      </c>
      <c r="R43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43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</v>
      </c>
      <c r="T43" s="133">
        <f t="shared" si="0"/>
        <v>0</v>
      </c>
    </row>
    <row r="44" spans="1:20">
      <c r="A44" s="80">
        <v>182</v>
      </c>
      <c r="B44" s="619" t="s">
        <v>509</v>
      </c>
      <c r="C44" s="123">
        <v>647</v>
      </c>
      <c r="D44" s="124">
        <f>Tabela13[[#This Row],[Matrículas de alunos em Curso 1° Semestre 2024]]*0.075</f>
        <v>48.524999999999999</v>
      </c>
      <c r="E44" s="125">
        <v>68</v>
      </c>
      <c r="F44" s="126">
        <f>IF(Tabela13[[#This Row],[INSCRITOS - Escola de Inovadores - 1° Semestre 2024]]&lt;Tabela13[[#This Row],[Linha de Base (7,5%) 1°Semestre]], 0,1)</f>
        <v>1</v>
      </c>
      <c r="G44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44" s="128">
        <v>56</v>
      </c>
      <c r="I44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1</v>
      </c>
      <c r="J44" s="127">
        <f>IF(Tabela13[[#This Row],[X = Percentual de inscritos na escola de inovadores para o cumprimento de meta ( Peso 0,60)]]=0, 0, Tabela13[[#This Row],[Percentual CONCLUINTES - Escola de Inovadores 2024]]*0.4)</f>
        <v>0.4</v>
      </c>
      <c r="K44" s="123">
        <v>630</v>
      </c>
      <c r="L44" s="129">
        <f>Tabela13[[#This Row],[Matriculados 2°Semestre em Curso]]*7.5%</f>
        <v>47.25</v>
      </c>
      <c r="M44" s="130">
        <v>76</v>
      </c>
      <c r="N44" s="131">
        <f>IF(Tabela13[[#This Row],[INSCRITOS - Escola de Inovadores - 2°Semestre 2024]]&lt;L44, 0,1)</f>
        <v>1</v>
      </c>
      <c r="O44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44" s="130">
        <v>68</v>
      </c>
      <c r="Q44" s="131">
        <f>IFERROR(IF(Tabela13[[#This Row],[Taxa de Inscritos 2° Semestre 2024]]=0, 0, MIN(1,Tabela13[[#This Row],[CONCLUINTES ESCOLA DE INOVADORES - 2° Semestre 2024]]/Tabela13[[#This Row],[Linha de Base (7,5%) 2°Semestre]])),0)</f>
        <v>1</v>
      </c>
      <c r="R44" s="132">
        <f>IF(Tabela13[[#This Row],[X = Percentual de inscritos na escola de inovadores para o cumprimento de meta ( Peso 0,60) 2°Semestre]]=0, 0, ROUND(Tabela13[[#This Row],[Percentual CONCLUINTES - Escola de Inovadores 2024 2°Semestre]]*0.4,1))</f>
        <v>0.4</v>
      </c>
      <c r="S44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1</v>
      </c>
      <c r="T44" s="133">
        <f t="shared" si="0"/>
        <v>1</v>
      </c>
    </row>
    <row r="45" spans="1:20">
      <c r="A45" s="80">
        <v>183</v>
      </c>
      <c r="B45" s="619" t="s">
        <v>510</v>
      </c>
      <c r="C45" s="123">
        <v>762</v>
      </c>
      <c r="D45" s="124">
        <f>Tabela13[[#This Row],[Matrículas de alunos em Curso 1° Semestre 2024]]*0.075</f>
        <v>57.15</v>
      </c>
      <c r="E45" s="125">
        <v>90</v>
      </c>
      <c r="F45" s="126">
        <f>IF(Tabela13[[#This Row],[INSCRITOS - Escola de Inovadores - 1° Semestre 2024]]&lt;Tabela13[[#This Row],[Linha de Base (7,5%) 1°Semestre]], 0,1)</f>
        <v>1</v>
      </c>
      <c r="G45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45" s="128">
        <v>25</v>
      </c>
      <c r="I45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0.43744531933508313</v>
      </c>
      <c r="J45" s="127">
        <f>IF(Tabela13[[#This Row],[X = Percentual de inscritos na escola de inovadores para o cumprimento de meta ( Peso 0,60)]]=0, 0, Tabela13[[#This Row],[Percentual CONCLUINTES - Escola de Inovadores 2024]]*0.4)</f>
        <v>0.17497812773403326</v>
      </c>
      <c r="K45" s="123">
        <v>715</v>
      </c>
      <c r="L45" s="129">
        <f>Tabela13[[#This Row],[Matriculados 2°Semestre em Curso]]*7.5%</f>
        <v>53.625</v>
      </c>
      <c r="M45" s="130">
        <v>172</v>
      </c>
      <c r="N45" s="131">
        <f>IF(Tabela13[[#This Row],[INSCRITOS - Escola de Inovadores - 2°Semestre 2024]]&lt;L45, 0,1)</f>
        <v>1</v>
      </c>
      <c r="O45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45" s="130">
        <v>9</v>
      </c>
      <c r="Q45" s="131">
        <f>IFERROR(IF(Tabela13[[#This Row],[Taxa de Inscritos 2° Semestre 2024]]=0, 0, MIN(1,Tabela13[[#This Row],[CONCLUINTES ESCOLA DE INOVADORES - 2° Semestre 2024]]/Tabela13[[#This Row],[Linha de Base (7,5%) 2°Semestre]])),0)</f>
        <v>0.16783216783216784</v>
      </c>
      <c r="R45" s="132">
        <f>IF(Tabela13[[#This Row],[X = Percentual de inscritos na escola de inovadores para o cumprimento de meta ( Peso 0,60) 2°Semestre]]=0, 0, ROUND(Tabela13[[#This Row],[Percentual CONCLUINTES - Escola de Inovadores 2024 2°Semestre]]*0.4,1))</f>
        <v>0.1</v>
      </c>
      <c r="S45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0.73748906386701663</v>
      </c>
      <c r="T45" s="133">
        <f t="shared" si="0"/>
        <v>0.8</v>
      </c>
    </row>
    <row r="46" spans="1:20">
      <c r="A46" s="80">
        <v>184</v>
      </c>
      <c r="B46" s="619" t="s">
        <v>511</v>
      </c>
      <c r="C46" s="123">
        <v>1228</v>
      </c>
      <c r="D46" s="124">
        <f>Tabela13[[#This Row],[Matrículas de alunos em Curso 1° Semestre 2024]]*0.075</f>
        <v>92.1</v>
      </c>
      <c r="E46" s="125">
        <v>120</v>
      </c>
      <c r="F46" s="126">
        <f>IF(Tabela13[[#This Row],[INSCRITOS - Escola de Inovadores - 1° Semestre 2024]]&lt;Tabela13[[#This Row],[Linha de Base (7,5%) 1°Semestre]], 0,1)</f>
        <v>1</v>
      </c>
      <c r="G46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46" s="128">
        <v>34</v>
      </c>
      <c r="I46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0.36916395222584147</v>
      </c>
      <c r="J46" s="127">
        <f>IF(Tabela13[[#This Row],[X = Percentual de inscritos na escola de inovadores para o cumprimento de meta ( Peso 0,60)]]=0, 0, Tabela13[[#This Row],[Percentual CONCLUINTES - Escola de Inovadores 2024]]*0.4)</f>
        <v>0.1476655808903366</v>
      </c>
      <c r="K46" s="123">
        <v>1205</v>
      </c>
      <c r="L46" s="129">
        <f>Tabela13[[#This Row],[Matriculados 2°Semestre em Curso]]*7.5%</f>
        <v>90.375</v>
      </c>
      <c r="M46" s="130">
        <v>165</v>
      </c>
      <c r="N46" s="131">
        <f>IF(Tabela13[[#This Row],[INSCRITOS - Escola de Inovadores - 2°Semestre 2024]]&lt;L46, 0,1)</f>
        <v>1</v>
      </c>
      <c r="O46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46" s="130">
        <v>101</v>
      </c>
      <c r="Q46" s="131">
        <f>IFERROR(IF(Tabela13[[#This Row],[Taxa de Inscritos 2° Semestre 2024]]=0, 0, MIN(1,Tabela13[[#This Row],[CONCLUINTES ESCOLA DE INOVADORES - 2° Semestre 2024]]/Tabela13[[#This Row],[Linha de Base (7,5%) 2°Semestre]])),0)</f>
        <v>1</v>
      </c>
      <c r="R46" s="132">
        <f>IF(Tabela13[[#This Row],[X = Percentual de inscritos na escola de inovadores para o cumprimento de meta ( Peso 0,60) 2°Semestre]]=0, 0, ROUND(Tabela13[[#This Row],[Percentual CONCLUINTES - Escola de Inovadores 2024 2°Semestre]]*0.4,1))</f>
        <v>0.4</v>
      </c>
      <c r="S46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0.87383279044516815</v>
      </c>
      <c r="T46" s="133">
        <f t="shared" si="0"/>
        <v>1</v>
      </c>
    </row>
    <row r="47" spans="1:20">
      <c r="A47" s="80">
        <v>189</v>
      </c>
      <c r="B47" s="619" t="s">
        <v>512</v>
      </c>
      <c r="C47" s="123">
        <v>474</v>
      </c>
      <c r="D47" s="124">
        <f>Tabela13[[#This Row],[Matrículas de alunos em Curso 1° Semestre 2024]]*0.075</f>
        <v>35.549999999999997</v>
      </c>
      <c r="E47" s="125">
        <v>45</v>
      </c>
      <c r="F47" s="126">
        <f>IF(Tabela13[[#This Row],[INSCRITOS - Escola de Inovadores - 1° Semestre 2024]]&lt;Tabela13[[#This Row],[Linha de Base (7,5%) 1°Semestre]], 0,1)</f>
        <v>1</v>
      </c>
      <c r="G47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47" s="128">
        <v>24</v>
      </c>
      <c r="I47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0.67510548523206759</v>
      </c>
      <c r="J47" s="127">
        <f>IF(Tabela13[[#This Row],[X = Percentual de inscritos na escola de inovadores para o cumprimento de meta ( Peso 0,60)]]=0, 0, Tabela13[[#This Row],[Percentual CONCLUINTES - Escola de Inovadores 2024]]*0.4)</f>
        <v>0.27004219409282704</v>
      </c>
      <c r="K47" s="123">
        <v>476</v>
      </c>
      <c r="L47" s="129">
        <f>Tabela13[[#This Row],[Matriculados 2°Semestre em Curso]]*7.5%</f>
        <v>35.699999999999996</v>
      </c>
      <c r="M47" s="130">
        <v>25</v>
      </c>
      <c r="N47" s="131">
        <f>IF(Tabela13[[#This Row],[INSCRITOS - Escola de Inovadores - 2°Semestre 2024]]&lt;L47, 0,1)</f>
        <v>0</v>
      </c>
      <c r="O47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47" s="130">
        <v>4</v>
      </c>
      <c r="Q47" s="131">
        <f>IFERROR(IF(Tabela13[[#This Row],[Taxa de Inscritos 2° Semestre 2024]]=0, 0, MIN(1,Tabela13[[#This Row],[CONCLUINTES ESCOLA DE INOVADORES - 2° Semestre 2024]]/Tabela13[[#This Row],[Linha de Base (7,5%) 2°Semestre]])),0)</f>
        <v>0</v>
      </c>
      <c r="R47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47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0.43502109704641351</v>
      </c>
      <c r="T47" s="133">
        <f t="shared" si="0"/>
        <v>0.5</v>
      </c>
    </row>
    <row r="48" spans="1:20">
      <c r="A48" s="80">
        <v>192</v>
      </c>
      <c r="B48" s="619" t="s">
        <v>513</v>
      </c>
      <c r="C48" s="123">
        <v>724</v>
      </c>
      <c r="D48" s="124">
        <f>Tabela13[[#This Row],[Matrículas de alunos em Curso 1° Semestre 2024]]*0.075</f>
        <v>54.3</v>
      </c>
      <c r="E48" s="125">
        <v>97</v>
      </c>
      <c r="F48" s="126">
        <f>IF(Tabela13[[#This Row],[INSCRITOS - Escola de Inovadores - 1° Semestre 2024]]&lt;Tabela13[[#This Row],[Linha de Base (7,5%) 1°Semestre]], 0,1)</f>
        <v>1</v>
      </c>
      <c r="G48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48" s="128">
        <v>54</v>
      </c>
      <c r="I48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0.99447513812154698</v>
      </c>
      <c r="J48" s="127">
        <f>IF(Tabela13[[#This Row],[X = Percentual de inscritos na escola de inovadores para o cumprimento de meta ( Peso 0,60)]]=0, 0, Tabela13[[#This Row],[Percentual CONCLUINTES - Escola de Inovadores 2024]]*0.4)</f>
        <v>0.39779005524861882</v>
      </c>
      <c r="K48" s="123">
        <v>623</v>
      </c>
      <c r="L48" s="129">
        <f>Tabela13[[#This Row],[Matriculados 2°Semestre em Curso]]*7.5%</f>
        <v>46.725000000000001</v>
      </c>
      <c r="M48" s="130">
        <v>77</v>
      </c>
      <c r="N48" s="131">
        <f>IF(Tabela13[[#This Row],[INSCRITOS - Escola de Inovadores - 2°Semestre 2024]]&lt;L48, 0,1)</f>
        <v>1</v>
      </c>
      <c r="O48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48" s="130">
        <v>22</v>
      </c>
      <c r="Q48" s="131">
        <f>IFERROR(IF(Tabela13[[#This Row],[Taxa de Inscritos 2° Semestre 2024]]=0, 0, MIN(1,Tabela13[[#This Row],[CONCLUINTES ESCOLA DE INOVADORES - 2° Semestre 2024]]/Tabela13[[#This Row],[Linha de Base (7,5%) 2°Semestre]])),0)</f>
        <v>0.47084002140181913</v>
      </c>
      <c r="R48" s="132">
        <f>IF(Tabela13[[#This Row],[X = Percentual de inscritos na escola de inovadores para o cumprimento de meta ( Peso 0,60) 2°Semestre]]=0, 0, ROUND(Tabela13[[#This Row],[Percentual CONCLUINTES - Escola de Inovadores 2024 2°Semestre]]*0.4,1))</f>
        <v>0.2</v>
      </c>
      <c r="S48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0.8988950276243094</v>
      </c>
      <c r="T48" s="133">
        <f t="shared" si="0"/>
        <v>1</v>
      </c>
    </row>
    <row r="49" spans="1:20">
      <c r="A49" s="80">
        <v>196</v>
      </c>
      <c r="B49" s="619" t="s">
        <v>514</v>
      </c>
      <c r="C49" s="123">
        <v>777</v>
      </c>
      <c r="D49" s="124">
        <f>Tabela13[[#This Row],[Matrículas de alunos em Curso 1° Semestre 2024]]*0.075</f>
        <v>58.274999999999999</v>
      </c>
      <c r="E49" s="125">
        <v>52</v>
      </c>
      <c r="F49" s="126">
        <f>IF(Tabela13[[#This Row],[INSCRITOS - Escola de Inovadores - 1° Semestre 2024]]&lt;Tabela13[[#This Row],[Linha de Base (7,5%) 1°Semestre]], 0,1)</f>
        <v>0</v>
      </c>
      <c r="G49" s="127">
        <f>MIN(IF(Tabela13[[#This Row],[INSCRITOS - Escola de Inovadores - 1° Semestre 2024]]&gt;Tabela13[[#This Row],[Linha de Base (7,5%) 1°Semestre]],0.6*Tabela13[[#This Row],[Percentual INSCRITOS - Escola de Inovadores - 2024]],0),1)</f>
        <v>0</v>
      </c>
      <c r="H49" s="128">
        <v>39</v>
      </c>
      <c r="I49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</v>
      </c>
      <c r="J49" s="127">
        <f>IF(Tabela13[[#This Row],[X = Percentual de inscritos na escola de inovadores para o cumprimento de meta ( Peso 0,60)]]=0, 0, Tabela13[[#This Row],[Percentual CONCLUINTES - Escola de Inovadores 2024]]*0.4)</f>
        <v>0</v>
      </c>
      <c r="K49" s="123">
        <v>749</v>
      </c>
      <c r="L49" s="129">
        <f>Tabela13[[#This Row],[Matriculados 2°Semestre em Curso]]*7.5%</f>
        <v>56.174999999999997</v>
      </c>
      <c r="M49" s="130">
        <v>62</v>
      </c>
      <c r="N49" s="131">
        <f>IF(Tabela13[[#This Row],[INSCRITOS - Escola de Inovadores - 2°Semestre 2024]]&lt;L49, 0,1)</f>
        <v>1</v>
      </c>
      <c r="O49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49" s="130">
        <v>44</v>
      </c>
      <c r="Q49" s="131">
        <f>IFERROR(IF(Tabela13[[#This Row],[Taxa de Inscritos 2° Semestre 2024]]=0, 0, MIN(1,Tabela13[[#This Row],[CONCLUINTES ESCOLA DE INOVADORES - 2° Semestre 2024]]/Tabela13[[#This Row],[Linha de Base (7,5%) 2°Semestre]])),0)</f>
        <v>0.78326657765910102</v>
      </c>
      <c r="R49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49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</v>
      </c>
      <c r="T49" s="133">
        <f t="shared" si="0"/>
        <v>0</v>
      </c>
    </row>
    <row r="50" spans="1:20">
      <c r="A50" s="80">
        <v>204</v>
      </c>
      <c r="B50" s="619" t="s">
        <v>515</v>
      </c>
      <c r="C50" s="123">
        <v>1408</v>
      </c>
      <c r="D50" s="124">
        <f>Tabela13[[#This Row],[Matrículas de alunos em Curso 1° Semestre 2024]]*0.075</f>
        <v>105.6</v>
      </c>
      <c r="E50" s="125">
        <v>67</v>
      </c>
      <c r="F50" s="126">
        <f>IF(Tabela13[[#This Row],[INSCRITOS - Escola de Inovadores - 1° Semestre 2024]]&lt;Tabela13[[#This Row],[Linha de Base (7,5%) 1°Semestre]], 0,1)</f>
        <v>0</v>
      </c>
      <c r="G50" s="127">
        <f>MIN(IF(Tabela13[[#This Row],[INSCRITOS - Escola de Inovadores - 1° Semestre 2024]]&gt;Tabela13[[#This Row],[Linha de Base (7,5%) 1°Semestre]],0.6*Tabela13[[#This Row],[Percentual INSCRITOS - Escola de Inovadores - 2024]],0),1)</f>
        <v>0</v>
      </c>
      <c r="H50" s="128">
        <v>29</v>
      </c>
      <c r="I50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</v>
      </c>
      <c r="J50" s="127">
        <f>IF(Tabela13[[#This Row],[X = Percentual de inscritos na escola de inovadores para o cumprimento de meta ( Peso 0,60)]]=0, 0, Tabela13[[#This Row],[Percentual CONCLUINTES - Escola de Inovadores 2024]]*0.4)</f>
        <v>0</v>
      </c>
      <c r="K50" s="123">
        <v>1370</v>
      </c>
      <c r="L50" s="129">
        <f>Tabela13[[#This Row],[Matriculados 2°Semestre em Curso]]*7.5%</f>
        <v>102.75</v>
      </c>
      <c r="M50" s="130">
        <v>105</v>
      </c>
      <c r="N50" s="131">
        <f>IF(Tabela13[[#This Row],[INSCRITOS - Escola de Inovadores - 2°Semestre 2024]]&lt;L50, 0,1)</f>
        <v>1</v>
      </c>
      <c r="O50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50" s="130">
        <v>24</v>
      </c>
      <c r="Q50" s="131">
        <f>IFERROR(IF(Tabela13[[#This Row],[Taxa de Inscritos 2° Semestre 2024]]=0, 0, MIN(1,Tabela13[[#This Row],[CONCLUINTES ESCOLA DE INOVADORES - 2° Semestre 2024]]/Tabela13[[#This Row],[Linha de Base (7,5%) 2°Semestre]])),0)</f>
        <v>0.23357664233576642</v>
      </c>
      <c r="R50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50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</v>
      </c>
      <c r="T50" s="133">
        <f t="shared" si="0"/>
        <v>0</v>
      </c>
    </row>
    <row r="51" spans="1:20">
      <c r="A51" s="80">
        <v>209</v>
      </c>
      <c r="B51" s="619" t="s">
        <v>516</v>
      </c>
      <c r="C51" s="123">
        <v>1409</v>
      </c>
      <c r="D51" s="124">
        <f>Tabela13[[#This Row],[Matrículas de alunos em Curso 1° Semestre 2024]]*0.075</f>
        <v>105.675</v>
      </c>
      <c r="E51" s="125">
        <v>179</v>
      </c>
      <c r="F51" s="126">
        <f>IF(Tabela13[[#This Row],[INSCRITOS - Escola de Inovadores - 1° Semestre 2024]]&lt;Tabela13[[#This Row],[Linha de Base (7,5%) 1°Semestre]], 0,1)</f>
        <v>1</v>
      </c>
      <c r="G51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51" s="128">
        <v>79</v>
      </c>
      <c r="I51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0.74757511237284124</v>
      </c>
      <c r="J51" s="127">
        <f>IF(Tabela13[[#This Row],[X = Percentual de inscritos na escola de inovadores para o cumprimento de meta ( Peso 0,60)]]=0, 0, Tabela13[[#This Row],[Percentual CONCLUINTES - Escola de Inovadores 2024]]*0.4)</f>
        <v>0.29903004494913649</v>
      </c>
      <c r="K51" s="123">
        <v>1450</v>
      </c>
      <c r="L51" s="129">
        <f>Tabela13[[#This Row],[Matriculados 2°Semestre em Curso]]*7.5%</f>
        <v>108.75</v>
      </c>
      <c r="M51" s="130">
        <v>158</v>
      </c>
      <c r="N51" s="131">
        <f>IF(Tabela13[[#This Row],[INSCRITOS - Escola de Inovadores - 2°Semestre 2024]]&lt;L51, 0,1)</f>
        <v>1</v>
      </c>
      <c r="O51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51" s="130">
        <v>82</v>
      </c>
      <c r="Q51" s="131">
        <f>IFERROR(IF(Tabela13[[#This Row],[Taxa de Inscritos 2° Semestre 2024]]=0, 0, MIN(1,Tabela13[[#This Row],[CONCLUINTES ESCOLA DE INOVADORES - 2° Semestre 2024]]/Tabela13[[#This Row],[Linha de Base (7,5%) 2°Semestre]])),0)</f>
        <v>0.75402298850574712</v>
      </c>
      <c r="R51" s="132">
        <f>IF(Tabela13[[#This Row],[X = Percentual de inscritos na escola de inovadores para o cumprimento de meta ( Peso 0,60) 2°Semestre]]=0, 0, ROUND(Tabela13[[#This Row],[Percentual CONCLUINTES - Escola de Inovadores 2024 2°Semestre]]*0.4,1))</f>
        <v>0.3</v>
      </c>
      <c r="S51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0.89951502247456816</v>
      </c>
      <c r="T51" s="133">
        <f t="shared" si="0"/>
        <v>1</v>
      </c>
    </row>
    <row r="52" spans="1:20">
      <c r="A52" s="80">
        <v>216</v>
      </c>
      <c r="B52" s="619" t="s">
        <v>517</v>
      </c>
      <c r="C52" s="123">
        <v>1797</v>
      </c>
      <c r="D52" s="124">
        <f>Tabela13[[#This Row],[Matrículas de alunos em Curso 1° Semestre 2024]]*0.075</f>
        <v>134.77500000000001</v>
      </c>
      <c r="E52" s="125">
        <v>80</v>
      </c>
      <c r="F52" s="126">
        <f>IF(Tabela13[[#This Row],[INSCRITOS - Escola de Inovadores - 1° Semestre 2024]]&lt;Tabela13[[#This Row],[Linha de Base (7,5%) 1°Semestre]], 0,1)</f>
        <v>0</v>
      </c>
      <c r="G52" s="127">
        <f>MIN(IF(Tabela13[[#This Row],[INSCRITOS - Escola de Inovadores - 1° Semestre 2024]]&gt;Tabela13[[#This Row],[Linha de Base (7,5%) 1°Semestre]],0.6*Tabela13[[#This Row],[Percentual INSCRITOS - Escola de Inovadores - 2024]],0),1)</f>
        <v>0</v>
      </c>
      <c r="H52" s="128">
        <v>59</v>
      </c>
      <c r="I52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</v>
      </c>
      <c r="J52" s="127">
        <f>IF(Tabela13[[#This Row],[X = Percentual de inscritos na escola de inovadores para o cumprimento de meta ( Peso 0,60)]]=0, 0, Tabela13[[#This Row],[Percentual CONCLUINTES - Escola de Inovadores 2024]]*0.4)</f>
        <v>0</v>
      </c>
      <c r="K52" s="123">
        <v>1692</v>
      </c>
      <c r="L52" s="129">
        <f>Tabela13[[#This Row],[Matriculados 2°Semestre em Curso]]*7.5%</f>
        <v>126.89999999999999</v>
      </c>
      <c r="M52" s="130">
        <v>82</v>
      </c>
      <c r="N52" s="131">
        <f>IF(Tabela13[[#This Row],[INSCRITOS - Escola de Inovadores - 2°Semestre 2024]]&lt;L52, 0,1)</f>
        <v>0</v>
      </c>
      <c r="O52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52" s="130">
        <v>54</v>
      </c>
      <c r="Q52" s="131">
        <f>IFERROR(IF(Tabela13[[#This Row],[Taxa de Inscritos 2° Semestre 2024]]=0, 0, MIN(1,Tabela13[[#This Row],[CONCLUINTES ESCOLA DE INOVADORES - 2° Semestre 2024]]/Tabela13[[#This Row],[Linha de Base (7,5%) 2°Semestre]])),0)</f>
        <v>0</v>
      </c>
      <c r="R52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52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</v>
      </c>
      <c r="T52" s="133">
        <f t="shared" si="0"/>
        <v>0</v>
      </c>
    </row>
    <row r="53" spans="1:20">
      <c r="A53" s="80">
        <v>217</v>
      </c>
      <c r="B53" s="619" t="s">
        <v>518</v>
      </c>
      <c r="C53" s="123">
        <v>693</v>
      </c>
      <c r="D53" s="124">
        <f>Tabela13[[#This Row],[Matrículas de alunos em Curso 1° Semestre 2024]]*0.075</f>
        <v>51.975000000000001</v>
      </c>
      <c r="E53" s="125">
        <v>53</v>
      </c>
      <c r="F53" s="126">
        <f>IF(Tabela13[[#This Row],[INSCRITOS - Escola de Inovadores - 1° Semestre 2024]]&lt;Tabela13[[#This Row],[Linha de Base (7,5%) 1°Semestre]], 0,1)</f>
        <v>1</v>
      </c>
      <c r="G53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53" s="128">
        <v>19</v>
      </c>
      <c r="I53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0.36556036556036553</v>
      </c>
      <c r="J53" s="127">
        <f>IF(Tabela13[[#This Row],[X = Percentual de inscritos na escola de inovadores para o cumprimento de meta ( Peso 0,60)]]=0, 0, Tabela13[[#This Row],[Percentual CONCLUINTES - Escola de Inovadores 2024]]*0.4)</f>
        <v>0.14622414622414623</v>
      </c>
      <c r="K53" s="123">
        <v>661</v>
      </c>
      <c r="L53" s="129">
        <f>Tabela13[[#This Row],[Matriculados 2°Semestre em Curso]]*7.5%</f>
        <v>49.574999999999996</v>
      </c>
      <c r="M53" s="130">
        <v>44</v>
      </c>
      <c r="N53" s="131">
        <f>IF(Tabela13[[#This Row],[INSCRITOS - Escola de Inovadores - 2°Semestre 2024]]&lt;L53, 0,1)</f>
        <v>0</v>
      </c>
      <c r="O53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53" s="130">
        <v>18</v>
      </c>
      <c r="Q53" s="131">
        <f>IFERROR(IF(Tabela13[[#This Row],[Taxa de Inscritos 2° Semestre 2024]]=0, 0, MIN(1,Tabela13[[#This Row],[CONCLUINTES ESCOLA DE INOVADORES - 2° Semestre 2024]]/Tabela13[[#This Row],[Linha de Base (7,5%) 2°Semestre]])),0)</f>
        <v>0</v>
      </c>
      <c r="R53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53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0.37311207311207312</v>
      </c>
      <c r="T53" s="133">
        <f t="shared" si="0"/>
        <v>0</v>
      </c>
    </row>
    <row r="54" spans="1:20">
      <c r="A54" s="80">
        <v>250</v>
      </c>
      <c r="B54" s="619" t="s">
        <v>519</v>
      </c>
      <c r="C54" s="123">
        <v>1173</v>
      </c>
      <c r="D54" s="124">
        <f>Tabela13[[#This Row],[Matrículas de alunos em Curso 1° Semestre 2024]]*0.075</f>
        <v>87.974999999999994</v>
      </c>
      <c r="E54" s="125">
        <v>18</v>
      </c>
      <c r="F54" s="126">
        <f>IF(Tabela13[[#This Row],[INSCRITOS - Escola de Inovadores - 1° Semestre 2024]]&lt;Tabela13[[#This Row],[Linha de Base (7,5%) 1°Semestre]], 0,1)</f>
        <v>0</v>
      </c>
      <c r="G54" s="127">
        <f>MIN(IF(Tabela13[[#This Row],[INSCRITOS - Escola de Inovadores - 1° Semestre 2024]]&gt;Tabela13[[#This Row],[Linha de Base (7,5%) 1°Semestre]],0.6*Tabela13[[#This Row],[Percentual INSCRITOS - Escola de Inovadores - 2024]],0),1)</f>
        <v>0</v>
      </c>
      <c r="H54" s="128">
        <v>4</v>
      </c>
      <c r="I54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</v>
      </c>
      <c r="J54" s="127">
        <f>IF(Tabela13[[#This Row],[X = Percentual de inscritos na escola de inovadores para o cumprimento de meta ( Peso 0,60)]]=0, 0, Tabela13[[#This Row],[Percentual CONCLUINTES - Escola de Inovadores 2024]]*0.4)</f>
        <v>0</v>
      </c>
      <c r="K54" s="123">
        <v>1159</v>
      </c>
      <c r="L54" s="129">
        <f>Tabela13[[#This Row],[Matriculados 2°Semestre em Curso]]*7.5%</f>
        <v>86.924999999999997</v>
      </c>
      <c r="M54" s="130">
        <v>108</v>
      </c>
      <c r="N54" s="131">
        <f>IF(Tabela13[[#This Row],[INSCRITOS - Escola de Inovadores - 2°Semestre 2024]]&lt;L54, 0,1)</f>
        <v>1</v>
      </c>
      <c r="O54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54" s="130">
        <v>5</v>
      </c>
      <c r="Q54" s="131">
        <f>IFERROR(IF(Tabela13[[#This Row],[Taxa de Inscritos 2° Semestre 2024]]=0, 0, MIN(1,Tabela13[[#This Row],[CONCLUINTES ESCOLA DE INOVADORES - 2° Semestre 2024]]/Tabela13[[#This Row],[Linha de Base (7,5%) 2°Semestre]])),0)</f>
        <v>5.7520851308599366E-2</v>
      </c>
      <c r="R54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54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</v>
      </c>
      <c r="T54" s="133">
        <f t="shared" si="0"/>
        <v>0</v>
      </c>
    </row>
    <row r="55" spans="1:20">
      <c r="A55" s="80">
        <v>251</v>
      </c>
      <c r="B55" s="619" t="s">
        <v>520</v>
      </c>
      <c r="C55" s="123">
        <v>553</v>
      </c>
      <c r="D55" s="124">
        <f>Tabela13[[#This Row],[Matrículas de alunos em Curso 1° Semestre 2024]]*0.075</f>
        <v>41.475000000000001</v>
      </c>
      <c r="E55" s="125">
        <v>53</v>
      </c>
      <c r="F55" s="126">
        <f>IF(Tabela13[[#This Row],[INSCRITOS - Escola de Inovadores - 1° Semestre 2024]]&lt;Tabela13[[#This Row],[Linha de Base (7,5%) 1°Semestre]], 0,1)</f>
        <v>1</v>
      </c>
      <c r="G55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55" s="128">
        <v>26</v>
      </c>
      <c r="I55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0.62688366485834834</v>
      </c>
      <c r="J55" s="127">
        <f>IF(Tabela13[[#This Row],[X = Percentual de inscritos na escola de inovadores para o cumprimento de meta ( Peso 0,60)]]=0, 0, Tabela13[[#This Row],[Percentual CONCLUINTES - Escola de Inovadores 2024]]*0.4)</f>
        <v>0.25075346594333936</v>
      </c>
      <c r="K55" s="123">
        <v>526</v>
      </c>
      <c r="L55" s="129">
        <f>Tabela13[[#This Row],[Matriculados 2°Semestre em Curso]]*7.5%</f>
        <v>39.449999999999996</v>
      </c>
      <c r="M55" s="130">
        <v>54</v>
      </c>
      <c r="N55" s="131">
        <f>IF(Tabela13[[#This Row],[INSCRITOS - Escola de Inovadores - 2°Semestre 2024]]&lt;L55, 0,1)</f>
        <v>1</v>
      </c>
      <c r="O55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55" s="130">
        <v>33</v>
      </c>
      <c r="Q55" s="131">
        <f>IFERROR(IF(Tabela13[[#This Row],[Taxa de Inscritos 2° Semestre 2024]]=0, 0, MIN(1,Tabela13[[#This Row],[CONCLUINTES ESCOLA DE INOVADORES - 2° Semestre 2024]]/Tabela13[[#This Row],[Linha de Base (7,5%) 2°Semestre]])),0)</f>
        <v>0.83650190114068446</v>
      </c>
      <c r="R55" s="132">
        <f>IF(Tabela13[[#This Row],[X = Percentual de inscritos na escola de inovadores para o cumprimento de meta ( Peso 0,60) 2°Semestre]]=0, 0, ROUND(Tabela13[[#This Row],[Percentual CONCLUINTES - Escola de Inovadores 2024 2°Semestre]]*0.4,1))</f>
        <v>0.3</v>
      </c>
      <c r="S55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0.87537673297166962</v>
      </c>
      <c r="T55" s="133">
        <f t="shared" si="0"/>
        <v>1</v>
      </c>
    </row>
    <row r="56" spans="1:20">
      <c r="A56" s="80">
        <v>257</v>
      </c>
      <c r="B56" s="619" t="s">
        <v>521</v>
      </c>
      <c r="C56" s="123">
        <v>1278</v>
      </c>
      <c r="D56" s="124">
        <f>Tabela13[[#This Row],[Matrículas de alunos em Curso 1° Semestre 2024]]*0.075</f>
        <v>95.85</v>
      </c>
      <c r="E56" s="125">
        <v>7</v>
      </c>
      <c r="F56" s="126">
        <f>IF(Tabela13[[#This Row],[INSCRITOS - Escola de Inovadores - 1° Semestre 2024]]&lt;Tabela13[[#This Row],[Linha de Base (7,5%) 1°Semestre]], 0,1)</f>
        <v>0</v>
      </c>
      <c r="G56" s="127">
        <f>MIN(IF(Tabela13[[#This Row],[INSCRITOS - Escola de Inovadores - 1° Semestre 2024]]&gt;Tabela13[[#This Row],[Linha de Base (7,5%) 1°Semestre]],0.6*Tabela13[[#This Row],[Percentual INSCRITOS - Escola de Inovadores - 2024]],0),1)</f>
        <v>0</v>
      </c>
      <c r="H56" s="128">
        <v>0</v>
      </c>
      <c r="I56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</v>
      </c>
      <c r="J56" s="127">
        <f>IF(Tabela13[[#This Row],[X = Percentual de inscritos na escola de inovadores para o cumprimento de meta ( Peso 0,60)]]=0, 0, Tabela13[[#This Row],[Percentual CONCLUINTES - Escola de Inovadores 2024]]*0.4)</f>
        <v>0</v>
      </c>
      <c r="K56" s="123">
        <v>1150</v>
      </c>
      <c r="L56" s="129">
        <f>Tabela13[[#This Row],[Matriculados 2°Semestre em Curso]]*7.5%</f>
        <v>86.25</v>
      </c>
      <c r="M56" s="130">
        <v>52</v>
      </c>
      <c r="N56" s="131">
        <f>IF(Tabela13[[#This Row],[INSCRITOS - Escola de Inovadores - 2°Semestre 2024]]&lt;L56, 0,1)</f>
        <v>0</v>
      </c>
      <c r="O56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56" s="130">
        <v>1</v>
      </c>
      <c r="Q56" s="131">
        <f>IFERROR(IF(Tabela13[[#This Row],[Taxa de Inscritos 2° Semestre 2024]]=0, 0, MIN(1,Tabela13[[#This Row],[CONCLUINTES ESCOLA DE INOVADORES - 2° Semestre 2024]]/Tabela13[[#This Row],[Linha de Base (7,5%) 2°Semestre]])),0)</f>
        <v>0</v>
      </c>
      <c r="R56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56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</v>
      </c>
      <c r="T56" s="133">
        <f t="shared" si="0"/>
        <v>0</v>
      </c>
    </row>
    <row r="57" spans="1:20">
      <c r="A57" s="80">
        <v>258</v>
      </c>
      <c r="B57" s="619" t="s">
        <v>522</v>
      </c>
      <c r="C57" s="123">
        <v>312</v>
      </c>
      <c r="D57" s="124">
        <f>Tabela13[[#This Row],[Matrículas de alunos em Curso 1° Semestre 2024]]*0.075</f>
        <v>23.4</v>
      </c>
      <c r="E57" s="125">
        <v>11</v>
      </c>
      <c r="F57" s="126">
        <f>IF(Tabela13[[#This Row],[INSCRITOS - Escola de Inovadores - 1° Semestre 2024]]&lt;Tabela13[[#This Row],[Linha de Base (7,5%) 1°Semestre]], 0,1)</f>
        <v>0</v>
      </c>
      <c r="G57" s="127">
        <f>MIN(IF(Tabela13[[#This Row],[INSCRITOS - Escola de Inovadores - 1° Semestre 2024]]&gt;Tabela13[[#This Row],[Linha de Base (7,5%) 1°Semestre]],0.6*Tabela13[[#This Row],[Percentual INSCRITOS - Escola de Inovadores - 2024]],0),1)</f>
        <v>0</v>
      </c>
      <c r="H57" s="128">
        <v>4</v>
      </c>
      <c r="I57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</v>
      </c>
      <c r="J57" s="127">
        <f>IF(Tabela13[[#This Row],[X = Percentual de inscritos na escola de inovadores para o cumprimento de meta ( Peso 0,60)]]=0, 0, Tabela13[[#This Row],[Percentual CONCLUINTES - Escola de Inovadores 2024]]*0.4)</f>
        <v>0</v>
      </c>
      <c r="K57" s="123">
        <v>310</v>
      </c>
      <c r="L57" s="129">
        <f>Tabela13[[#This Row],[Matriculados 2°Semestre em Curso]]*7.5%</f>
        <v>23.25</v>
      </c>
      <c r="M57" s="130">
        <v>68</v>
      </c>
      <c r="N57" s="131">
        <f>IF(Tabela13[[#This Row],[INSCRITOS - Escola de Inovadores - 2°Semestre 2024]]&lt;L57, 0,1)</f>
        <v>1</v>
      </c>
      <c r="O57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57" s="130">
        <v>35</v>
      </c>
      <c r="Q57" s="131">
        <f>IFERROR(IF(Tabela13[[#This Row],[Taxa de Inscritos 2° Semestre 2024]]=0, 0, MIN(1,Tabela13[[#This Row],[CONCLUINTES ESCOLA DE INOVADORES - 2° Semestre 2024]]/Tabela13[[#This Row],[Linha de Base (7,5%) 2°Semestre]])),0)</f>
        <v>1</v>
      </c>
      <c r="R57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57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</v>
      </c>
      <c r="T57" s="133">
        <f t="shared" si="0"/>
        <v>0</v>
      </c>
    </row>
    <row r="58" spans="1:20">
      <c r="A58" s="80">
        <v>259</v>
      </c>
      <c r="B58" s="619" t="s">
        <v>523</v>
      </c>
      <c r="C58" s="123">
        <v>621</v>
      </c>
      <c r="D58" s="124">
        <f>Tabela13[[#This Row],[Matrículas de alunos em Curso 1° Semestre 2024]]*0.075</f>
        <v>46.574999999999996</v>
      </c>
      <c r="E58" s="125">
        <v>50</v>
      </c>
      <c r="F58" s="126">
        <f>IF(Tabela13[[#This Row],[INSCRITOS - Escola de Inovadores - 1° Semestre 2024]]&lt;Tabela13[[#This Row],[Linha de Base (7,5%) 1°Semestre]], 0,1)</f>
        <v>1</v>
      </c>
      <c r="G58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58" s="128">
        <v>13</v>
      </c>
      <c r="I58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0.2791196994095545</v>
      </c>
      <c r="J58" s="127">
        <f>IF(Tabela13[[#This Row],[X = Percentual de inscritos na escola de inovadores para o cumprimento de meta ( Peso 0,60)]]=0, 0, Tabela13[[#This Row],[Percentual CONCLUINTES - Escola de Inovadores 2024]]*0.4)</f>
        <v>0.1116478797638218</v>
      </c>
      <c r="K58" s="123">
        <v>585</v>
      </c>
      <c r="L58" s="129">
        <f>Tabela13[[#This Row],[Matriculados 2°Semestre em Curso]]*7.5%</f>
        <v>43.875</v>
      </c>
      <c r="M58" s="130">
        <v>105</v>
      </c>
      <c r="N58" s="131">
        <f>IF(Tabela13[[#This Row],[INSCRITOS - Escola de Inovadores - 2°Semestre 2024]]&lt;L58, 0,1)</f>
        <v>1</v>
      </c>
      <c r="O58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58" s="130">
        <v>63</v>
      </c>
      <c r="Q58" s="131">
        <f>IFERROR(IF(Tabela13[[#This Row],[Taxa de Inscritos 2° Semestre 2024]]=0, 0, MIN(1,Tabela13[[#This Row],[CONCLUINTES ESCOLA DE INOVADORES - 2° Semestre 2024]]/Tabela13[[#This Row],[Linha de Base (7,5%) 2°Semestre]])),0)</f>
        <v>1</v>
      </c>
      <c r="R58" s="132">
        <f>IF(Tabela13[[#This Row],[X = Percentual de inscritos na escola de inovadores para o cumprimento de meta ( Peso 0,60) 2°Semestre]]=0, 0, ROUND(Tabela13[[#This Row],[Percentual CONCLUINTES - Escola de Inovadores 2024 2°Semestre]]*0.4,1))</f>
        <v>0.4</v>
      </c>
      <c r="S58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0.85582393988191097</v>
      </c>
      <c r="T58" s="133">
        <f t="shared" si="0"/>
        <v>1</v>
      </c>
    </row>
    <row r="59" spans="1:20">
      <c r="A59" s="80">
        <v>265</v>
      </c>
      <c r="B59" s="619" t="s">
        <v>524</v>
      </c>
      <c r="C59" s="123">
        <v>430</v>
      </c>
      <c r="D59" s="124">
        <f>Tabela13[[#This Row],[Matrículas de alunos em Curso 1° Semestre 2024]]*0.075</f>
        <v>32.25</v>
      </c>
      <c r="E59" s="125">
        <v>69</v>
      </c>
      <c r="F59" s="126">
        <f>IF(Tabela13[[#This Row],[INSCRITOS - Escola de Inovadores - 1° Semestre 2024]]&lt;Tabela13[[#This Row],[Linha de Base (7,5%) 1°Semestre]], 0,1)</f>
        <v>1</v>
      </c>
      <c r="G59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59" s="128">
        <v>27</v>
      </c>
      <c r="I59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0.83720930232558144</v>
      </c>
      <c r="J59" s="127">
        <f>IF(Tabela13[[#This Row],[X = Percentual de inscritos na escola de inovadores para o cumprimento de meta ( Peso 0,60)]]=0, 0, Tabela13[[#This Row],[Percentual CONCLUINTES - Escola de Inovadores 2024]]*0.4)</f>
        <v>0.33488372093023261</v>
      </c>
      <c r="K59" s="123">
        <v>419</v>
      </c>
      <c r="L59" s="129">
        <f>Tabela13[[#This Row],[Matriculados 2°Semestre em Curso]]*7.5%</f>
        <v>31.424999999999997</v>
      </c>
      <c r="M59" s="130">
        <v>31</v>
      </c>
      <c r="N59" s="131">
        <f>IF(Tabela13[[#This Row],[INSCRITOS - Escola de Inovadores - 2°Semestre 2024]]&lt;L59, 0,1)</f>
        <v>0</v>
      </c>
      <c r="O59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59" s="130">
        <v>22</v>
      </c>
      <c r="Q59" s="131">
        <f>IFERROR(IF(Tabela13[[#This Row],[Taxa de Inscritos 2° Semestre 2024]]=0, 0, MIN(1,Tabela13[[#This Row],[CONCLUINTES ESCOLA DE INOVADORES - 2° Semestre 2024]]/Tabela13[[#This Row],[Linha de Base (7,5%) 2°Semestre]])),0)</f>
        <v>0</v>
      </c>
      <c r="R59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59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0.46744186046511627</v>
      </c>
      <c r="T59" s="133">
        <f t="shared" si="0"/>
        <v>0.5</v>
      </c>
    </row>
    <row r="60" spans="1:20">
      <c r="A60" s="80">
        <v>269</v>
      </c>
      <c r="B60" s="619" t="s">
        <v>525</v>
      </c>
      <c r="C60" s="123">
        <v>388</v>
      </c>
      <c r="D60" s="124">
        <f>Tabela13[[#This Row],[Matrículas de alunos em Curso 1° Semestre 2024]]*0.075</f>
        <v>29.099999999999998</v>
      </c>
      <c r="E60" s="125">
        <v>36</v>
      </c>
      <c r="F60" s="126">
        <f>IF(Tabela13[[#This Row],[INSCRITOS - Escola de Inovadores - 1° Semestre 2024]]&lt;Tabela13[[#This Row],[Linha de Base (7,5%) 1°Semestre]], 0,1)</f>
        <v>1</v>
      </c>
      <c r="G60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60" s="128">
        <v>6</v>
      </c>
      <c r="I60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0.2061855670103093</v>
      </c>
      <c r="J60" s="127">
        <f>IF(Tabela13[[#This Row],[X = Percentual de inscritos na escola de inovadores para o cumprimento de meta ( Peso 0,60)]]=0, 0, Tabela13[[#This Row],[Percentual CONCLUINTES - Escola de Inovadores 2024]]*0.4)</f>
        <v>8.2474226804123724E-2</v>
      </c>
      <c r="K60" s="123">
        <v>360</v>
      </c>
      <c r="L60" s="129">
        <f>Tabela13[[#This Row],[Matriculados 2°Semestre em Curso]]*7.5%</f>
        <v>27</v>
      </c>
      <c r="M60" s="130">
        <v>30</v>
      </c>
      <c r="N60" s="131">
        <f>IF(Tabela13[[#This Row],[INSCRITOS - Escola de Inovadores - 2°Semestre 2024]]&lt;L60, 0,1)</f>
        <v>1</v>
      </c>
      <c r="O60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60" s="130">
        <v>3</v>
      </c>
      <c r="Q60" s="131">
        <f>IFERROR(IF(Tabela13[[#This Row],[Taxa de Inscritos 2° Semestre 2024]]=0, 0, MIN(1,Tabela13[[#This Row],[CONCLUINTES ESCOLA DE INOVADORES - 2° Semestre 2024]]/Tabela13[[#This Row],[Linha de Base (7,5%) 2°Semestre]])),0)</f>
        <v>0.1111111111111111</v>
      </c>
      <c r="R60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60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0.6412371134020618</v>
      </c>
      <c r="T60" s="133">
        <f t="shared" si="0"/>
        <v>0.7</v>
      </c>
    </row>
    <row r="61" spans="1:20">
      <c r="A61" s="80">
        <v>270</v>
      </c>
      <c r="B61" s="619" t="s">
        <v>526</v>
      </c>
      <c r="C61" s="123">
        <v>1055</v>
      </c>
      <c r="D61" s="124">
        <f>Tabela13[[#This Row],[Matrículas de alunos em Curso 1° Semestre 2024]]*0.075</f>
        <v>79.125</v>
      </c>
      <c r="E61" s="125">
        <v>127</v>
      </c>
      <c r="F61" s="126">
        <f>IF(Tabela13[[#This Row],[INSCRITOS - Escola de Inovadores - 1° Semestre 2024]]&lt;Tabela13[[#This Row],[Linha de Base (7,5%) 1°Semestre]], 0,1)</f>
        <v>1</v>
      </c>
      <c r="G61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61" s="128">
        <v>42</v>
      </c>
      <c r="I61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0.53080568720379151</v>
      </c>
      <c r="J61" s="127">
        <f>IF(Tabela13[[#This Row],[X = Percentual de inscritos na escola de inovadores para o cumprimento de meta ( Peso 0,60)]]=0, 0, Tabela13[[#This Row],[Percentual CONCLUINTES - Escola de Inovadores 2024]]*0.4)</f>
        <v>0.21232227488151661</v>
      </c>
      <c r="K61" s="123">
        <v>1054</v>
      </c>
      <c r="L61" s="129">
        <f>Tabela13[[#This Row],[Matriculados 2°Semestre em Curso]]*7.5%</f>
        <v>79.05</v>
      </c>
      <c r="M61" s="130">
        <v>29</v>
      </c>
      <c r="N61" s="131">
        <f>IF(Tabela13[[#This Row],[INSCRITOS - Escola de Inovadores - 2°Semestre 2024]]&lt;L61, 0,1)</f>
        <v>0</v>
      </c>
      <c r="O61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61" s="130">
        <v>3</v>
      </c>
      <c r="Q61" s="131">
        <f>IFERROR(IF(Tabela13[[#This Row],[Taxa de Inscritos 2° Semestre 2024]]=0, 0, MIN(1,Tabela13[[#This Row],[CONCLUINTES ESCOLA DE INOVADORES - 2° Semestre 2024]]/Tabela13[[#This Row],[Linha de Base (7,5%) 2°Semestre]])),0)</f>
        <v>0</v>
      </c>
      <c r="R61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61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0.40616113744075832</v>
      </c>
      <c r="T61" s="133">
        <f t="shared" si="0"/>
        <v>0.5</v>
      </c>
    </row>
    <row r="62" spans="1:20">
      <c r="A62" s="80">
        <v>272</v>
      </c>
      <c r="B62" s="619" t="s">
        <v>720</v>
      </c>
      <c r="C62" s="123">
        <v>813</v>
      </c>
      <c r="D62" s="124">
        <f>Tabela13[[#This Row],[Matrículas de alunos em Curso 1° Semestre 2024]]*0.075</f>
        <v>60.974999999999994</v>
      </c>
      <c r="E62" s="125">
        <v>76</v>
      </c>
      <c r="F62" s="126">
        <f>IF(Tabela13[[#This Row],[INSCRITOS - Escola de Inovadores - 1° Semestre 2024]]&lt;Tabela13[[#This Row],[Linha de Base (7,5%) 1°Semestre]], 0,1)</f>
        <v>1</v>
      </c>
      <c r="G62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62" s="128">
        <v>55</v>
      </c>
      <c r="I62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0.90200902009020101</v>
      </c>
      <c r="J62" s="127">
        <f>IF(Tabela13[[#This Row],[X = Percentual de inscritos na escola de inovadores para o cumprimento de meta ( Peso 0,60)]]=0, 0, Tabela13[[#This Row],[Percentual CONCLUINTES - Escola de Inovadores 2024]]*0.4)</f>
        <v>0.36080360803608041</v>
      </c>
      <c r="K62" s="123">
        <v>842</v>
      </c>
      <c r="L62" s="129">
        <f>Tabela13[[#This Row],[Matriculados 2°Semestre em Curso]]*7.5%</f>
        <v>63.15</v>
      </c>
      <c r="M62" s="130">
        <v>79</v>
      </c>
      <c r="N62" s="131">
        <f>IF(Tabela13[[#This Row],[INSCRITOS - Escola de Inovadores - 2°Semestre 2024]]&lt;L62, 0,1)</f>
        <v>1</v>
      </c>
      <c r="O62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62" s="130">
        <v>61</v>
      </c>
      <c r="Q62" s="131">
        <f>IFERROR(IF(Tabela13[[#This Row],[Taxa de Inscritos 2° Semestre 2024]]=0, 0, MIN(1,Tabela13[[#This Row],[CONCLUINTES ESCOLA DE INOVADORES - 2° Semestre 2024]]/Tabela13[[#This Row],[Linha de Base (7,5%) 2°Semestre]])),0)</f>
        <v>0.96595407759303253</v>
      </c>
      <c r="R62" s="132">
        <f>IF(Tabela13[[#This Row],[X = Percentual de inscritos na escola de inovadores para o cumprimento de meta ( Peso 0,60) 2°Semestre]]=0, 0, ROUND(Tabela13[[#This Row],[Percentual CONCLUINTES - Escola de Inovadores 2024 2°Semestre]]*0.4,1))</f>
        <v>0.4</v>
      </c>
      <c r="S62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0.98040180401804022</v>
      </c>
      <c r="T62" s="133">
        <f t="shared" si="0"/>
        <v>1</v>
      </c>
    </row>
    <row r="63" spans="1:20">
      <c r="A63" s="80">
        <v>275</v>
      </c>
      <c r="B63" s="619" t="s">
        <v>528</v>
      </c>
      <c r="C63" s="123">
        <v>380</v>
      </c>
      <c r="D63" s="124">
        <f>Tabela13[[#This Row],[Matrículas de alunos em Curso 1° Semestre 2024]]*0.075</f>
        <v>28.5</v>
      </c>
      <c r="E63" s="125">
        <v>44</v>
      </c>
      <c r="F63" s="126">
        <f>IF(Tabela13[[#This Row],[INSCRITOS - Escola de Inovadores - 1° Semestre 2024]]&lt;Tabela13[[#This Row],[Linha de Base (7,5%) 1°Semestre]], 0,1)</f>
        <v>1</v>
      </c>
      <c r="G63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63" s="128">
        <v>17</v>
      </c>
      <c r="I63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0.59649122807017541</v>
      </c>
      <c r="J63" s="127">
        <f>IF(Tabela13[[#This Row],[X = Percentual de inscritos na escola de inovadores para o cumprimento de meta ( Peso 0,60)]]=0, 0, Tabela13[[#This Row],[Percentual CONCLUINTES - Escola de Inovadores 2024]]*0.4)</f>
        <v>0.23859649122807017</v>
      </c>
      <c r="K63" s="123">
        <v>376</v>
      </c>
      <c r="L63" s="129">
        <f>Tabela13[[#This Row],[Matriculados 2°Semestre em Curso]]*7.5%</f>
        <v>28.2</v>
      </c>
      <c r="M63" s="130">
        <v>40</v>
      </c>
      <c r="N63" s="131">
        <f>IF(Tabela13[[#This Row],[INSCRITOS - Escola de Inovadores - 2°Semestre 2024]]&lt;L63, 0,1)</f>
        <v>1</v>
      </c>
      <c r="O63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63" s="130">
        <v>28</v>
      </c>
      <c r="Q63" s="131">
        <f>IFERROR(IF(Tabela13[[#This Row],[Taxa de Inscritos 2° Semestre 2024]]=0, 0, MIN(1,Tabela13[[#This Row],[CONCLUINTES ESCOLA DE INOVADORES - 2° Semestre 2024]]/Tabela13[[#This Row],[Linha de Base (7,5%) 2°Semestre]])),0)</f>
        <v>0.99290780141843971</v>
      </c>
      <c r="R63" s="132">
        <f>IF(Tabela13[[#This Row],[X = Percentual de inscritos na escola de inovadores para o cumprimento de meta ( Peso 0,60) 2°Semestre]]=0, 0, ROUND(Tabela13[[#This Row],[Percentual CONCLUINTES - Escola de Inovadores 2024 2°Semestre]]*0.4,1))</f>
        <v>0.4</v>
      </c>
      <c r="S63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0.91929824561403506</v>
      </c>
      <c r="T63" s="133">
        <f t="shared" si="0"/>
        <v>1</v>
      </c>
    </row>
    <row r="64" spans="1:20">
      <c r="A64" s="80">
        <v>276</v>
      </c>
      <c r="B64" s="619" t="s">
        <v>529</v>
      </c>
      <c r="C64" s="123">
        <v>1228</v>
      </c>
      <c r="D64" s="124">
        <f>Tabela13[[#This Row],[Matrículas de alunos em Curso 1° Semestre 2024]]*0.075</f>
        <v>92.1</v>
      </c>
      <c r="E64" s="125">
        <v>111</v>
      </c>
      <c r="F64" s="126">
        <f>IF(Tabela13[[#This Row],[INSCRITOS - Escola de Inovadores - 1° Semestre 2024]]&lt;Tabela13[[#This Row],[Linha de Base (7,5%) 1°Semestre]], 0,1)</f>
        <v>1</v>
      </c>
      <c r="G64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64" s="128">
        <v>80</v>
      </c>
      <c r="I64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0.86862106406080353</v>
      </c>
      <c r="J64" s="127">
        <f>IF(Tabela13[[#This Row],[X = Percentual de inscritos na escola de inovadores para o cumprimento de meta ( Peso 0,60)]]=0, 0, Tabela13[[#This Row],[Percentual CONCLUINTES - Escola de Inovadores 2024]]*0.4)</f>
        <v>0.34744842562432143</v>
      </c>
      <c r="K64" s="123">
        <v>1260</v>
      </c>
      <c r="L64" s="129">
        <f>Tabela13[[#This Row],[Matriculados 2°Semestre em Curso]]*7.5%</f>
        <v>94.5</v>
      </c>
      <c r="M64" s="130">
        <v>135</v>
      </c>
      <c r="N64" s="131">
        <f>IF(Tabela13[[#This Row],[INSCRITOS - Escola de Inovadores - 2°Semestre 2024]]&lt;L64, 0,1)</f>
        <v>1</v>
      </c>
      <c r="O64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64" s="130">
        <v>97</v>
      </c>
      <c r="Q64" s="131">
        <f>IFERROR(IF(Tabela13[[#This Row],[Taxa de Inscritos 2° Semestre 2024]]=0, 0, MIN(1,Tabela13[[#This Row],[CONCLUINTES ESCOLA DE INOVADORES - 2° Semestre 2024]]/Tabela13[[#This Row],[Linha de Base (7,5%) 2°Semestre]])),0)</f>
        <v>1</v>
      </c>
      <c r="R64" s="132">
        <f>IF(Tabela13[[#This Row],[X = Percentual de inscritos na escola de inovadores para o cumprimento de meta ( Peso 0,60) 2°Semestre]]=0, 0, ROUND(Tabela13[[#This Row],[Percentual CONCLUINTES - Escola de Inovadores 2024 2°Semestre]]*0.4,1))</f>
        <v>0.4</v>
      </c>
      <c r="S64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0.97372421281216059</v>
      </c>
      <c r="T64" s="133">
        <f t="shared" si="0"/>
        <v>1</v>
      </c>
    </row>
    <row r="65" spans="1:20">
      <c r="A65" s="80">
        <v>278</v>
      </c>
      <c r="B65" s="619" t="s">
        <v>530</v>
      </c>
      <c r="C65" s="123">
        <v>452</v>
      </c>
      <c r="D65" s="124">
        <f>Tabela13[[#This Row],[Matrículas de alunos em Curso 1° Semestre 2024]]*0.075</f>
        <v>33.9</v>
      </c>
      <c r="E65" s="125">
        <v>40</v>
      </c>
      <c r="F65" s="126">
        <f>IF(Tabela13[[#This Row],[INSCRITOS - Escola de Inovadores - 1° Semestre 2024]]&lt;Tabela13[[#This Row],[Linha de Base (7,5%) 1°Semestre]], 0,1)</f>
        <v>1</v>
      </c>
      <c r="G65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65" s="128">
        <v>9</v>
      </c>
      <c r="I65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0.26548672566371684</v>
      </c>
      <c r="J65" s="127">
        <f>IF(Tabela13[[#This Row],[X = Percentual de inscritos na escola de inovadores para o cumprimento de meta ( Peso 0,60)]]=0, 0, Tabela13[[#This Row],[Percentual CONCLUINTES - Escola de Inovadores 2024]]*0.4)</f>
        <v>0.10619469026548674</v>
      </c>
      <c r="K65" s="123">
        <v>413</v>
      </c>
      <c r="L65" s="129">
        <f>Tabela13[[#This Row],[Matriculados 2°Semestre em Curso]]*7.5%</f>
        <v>30.974999999999998</v>
      </c>
      <c r="M65" s="130">
        <v>9</v>
      </c>
      <c r="N65" s="131">
        <f>IF(Tabela13[[#This Row],[INSCRITOS - Escola de Inovadores - 2°Semestre 2024]]&lt;L65, 0,1)</f>
        <v>0</v>
      </c>
      <c r="O65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65" s="130">
        <v>13</v>
      </c>
      <c r="Q65" s="131">
        <f>IFERROR(IF(Tabela13[[#This Row],[Taxa de Inscritos 2° Semestre 2024]]=0, 0, MIN(1,Tabela13[[#This Row],[CONCLUINTES ESCOLA DE INOVADORES - 2° Semestre 2024]]/Tabela13[[#This Row],[Linha de Base (7,5%) 2°Semestre]])),0)</f>
        <v>0</v>
      </c>
      <c r="R65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65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0.35309734513274338</v>
      </c>
      <c r="T65" s="133">
        <f t="shared" si="0"/>
        <v>0</v>
      </c>
    </row>
    <row r="66" spans="1:20">
      <c r="A66" s="80">
        <v>280</v>
      </c>
      <c r="B66" s="619" t="s">
        <v>531</v>
      </c>
      <c r="C66" s="123">
        <v>260</v>
      </c>
      <c r="D66" s="124">
        <f>Tabela13[[#This Row],[Matrículas de alunos em Curso 1° Semestre 2024]]*0.075</f>
        <v>19.5</v>
      </c>
      <c r="E66" s="125">
        <v>21</v>
      </c>
      <c r="F66" s="126">
        <f>IF(Tabela13[[#This Row],[INSCRITOS - Escola de Inovadores - 1° Semestre 2024]]&lt;Tabela13[[#This Row],[Linha de Base (7,5%) 1°Semestre]], 0,1)</f>
        <v>1</v>
      </c>
      <c r="G66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66" s="128">
        <v>15</v>
      </c>
      <c r="I66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0.76923076923076927</v>
      </c>
      <c r="J66" s="127">
        <f>IF(Tabela13[[#This Row],[X = Percentual de inscritos na escola de inovadores para o cumprimento de meta ( Peso 0,60)]]=0, 0, Tabela13[[#This Row],[Percentual CONCLUINTES - Escola de Inovadores 2024]]*0.4)</f>
        <v>0.30769230769230771</v>
      </c>
      <c r="K66" s="123">
        <v>219</v>
      </c>
      <c r="L66" s="129">
        <f>Tabela13[[#This Row],[Matriculados 2°Semestre em Curso]]*7.5%</f>
        <v>16.425000000000001</v>
      </c>
      <c r="M66" s="130">
        <v>19</v>
      </c>
      <c r="N66" s="131">
        <f>IF(Tabela13[[#This Row],[INSCRITOS - Escola de Inovadores - 2°Semestre 2024]]&lt;L66, 0,1)</f>
        <v>1</v>
      </c>
      <c r="O66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66" s="130">
        <v>18</v>
      </c>
      <c r="Q66" s="131">
        <f>IFERROR(IF(Tabela13[[#This Row],[Taxa de Inscritos 2° Semestre 2024]]=0, 0, MIN(1,Tabela13[[#This Row],[CONCLUINTES ESCOLA DE INOVADORES - 2° Semestre 2024]]/Tabela13[[#This Row],[Linha de Base (7,5%) 2°Semestre]])),0)</f>
        <v>1</v>
      </c>
      <c r="R66" s="132">
        <f>IF(Tabela13[[#This Row],[X = Percentual de inscritos na escola de inovadores para o cumprimento de meta ( Peso 0,60) 2°Semestre]]=0, 0, ROUND(Tabela13[[#This Row],[Percentual CONCLUINTES - Escola de Inovadores 2024 2°Semestre]]*0.4,1))</f>
        <v>0.4</v>
      </c>
      <c r="S66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0.95384615384615379</v>
      </c>
      <c r="T66" s="133">
        <f t="shared" si="0"/>
        <v>1</v>
      </c>
    </row>
    <row r="67" spans="1:20">
      <c r="A67" s="80">
        <v>283</v>
      </c>
      <c r="B67" s="619" t="s">
        <v>532</v>
      </c>
      <c r="C67" s="123">
        <v>781</v>
      </c>
      <c r="D67" s="124">
        <f>Tabela13[[#This Row],[Matrículas de alunos em Curso 1° Semestre 2024]]*0.075</f>
        <v>58.574999999999996</v>
      </c>
      <c r="E67" s="125">
        <v>62</v>
      </c>
      <c r="F67" s="126">
        <f>IF(Tabela13[[#This Row],[INSCRITOS - Escola de Inovadores - 1° Semestre 2024]]&lt;Tabela13[[#This Row],[Linha de Base (7,5%) 1°Semestre]], 0,1)</f>
        <v>1</v>
      </c>
      <c r="G67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67" s="128">
        <v>52</v>
      </c>
      <c r="I67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0.88775074690567657</v>
      </c>
      <c r="J67" s="127">
        <f>IF(Tabela13[[#This Row],[X = Percentual de inscritos na escola de inovadores para o cumprimento de meta ( Peso 0,60)]]=0, 0, Tabela13[[#This Row],[Percentual CONCLUINTES - Escola de Inovadores 2024]]*0.4)</f>
        <v>0.35510029876227067</v>
      </c>
      <c r="K67" s="123">
        <v>775</v>
      </c>
      <c r="L67" s="129">
        <f>Tabela13[[#This Row],[Matriculados 2°Semestre em Curso]]*7.5%</f>
        <v>58.125</v>
      </c>
      <c r="M67" s="130">
        <v>74</v>
      </c>
      <c r="N67" s="131">
        <f>IF(Tabela13[[#This Row],[INSCRITOS - Escola de Inovadores - 2°Semestre 2024]]&lt;L67, 0,1)</f>
        <v>1</v>
      </c>
      <c r="O67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67" s="130">
        <v>67</v>
      </c>
      <c r="Q67" s="131">
        <f>IFERROR(IF(Tabela13[[#This Row],[Taxa de Inscritos 2° Semestre 2024]]=0, 0, MIN(1,Tabela13[[#This Row],[CONCLUINTES ESCOLA DE INOVADORES - 2° Semestre 2024]]/Tabela13[[#This Row],[Linha de Base (7,5%) 2°Semestre]])),0)</f>
        <v>1</v>
      </c>
      <c r="R67" s="132">
        <f>IF(Tabela13[[#This Row],[X = Percentual de inscritos na escola de inovadores para o cumprimento de meta ( Peso 0,60) 2°Semestre]]=0, 0, ROUND(Tabela13[[#This Row],[Percentual CONCLUINTES - Escola de Inovadores 2024 2°Semestre]]*0.4,1))</f>
        <v>0.4</v>
      </c>
      <c r="S67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0.97755014938113538</v>
      </c>
      <c r="T67" s="133">
        <f t="shared" si="0"/>
        <v>1</v>
      </c>
    </row>
    <row r="68" spans="1:20">
      <c r="A68" s="80">
        <v>284</v>
      </c>
      <c r="B68" s="619" t="s">
        <v>533</v>
      </c>
      <c r="C68" s="123">
        <v>787</v>
      </c>
      <c r="D68" s="124">
        <f>Tabela13[[#This Row],[Matrículas de alunos em Curso 1° Semestre 2024]]*0.075</f>
        <v>59.024999999999999</v>
      </c>
      <c r="E68" s="125">
        <v>119</v>
      </c>
      <c r="F68" s="126">
        <f>IF(Tabela13[[#This Row],[INSCRITOS - Escola de Inovadores - 1° Semestre 2024]]&lt;Tabela13[[#This Row],[Linha de Base (7,5%) 1°Semestre]], 0,1)</f>
        <v>1</v>
      </c>
      <c r="G68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68" s="128">
        <v>53</v>
      </c>
      <c r="I68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0.89792460821685727</v>
      </c>
      <c r="J68" s="127">
        <f>IF(Tabela13[[#This Row],[X = Percentual de inscritos na escola de inovadores para o cumprimento de meta ( Peso 0,60)]]=0, 0, Tabela13[[#This Row],[Percentual CONCLUINTES - Escola de Inovadores 2024]]*0.4)</f>
        <v>0.35916984328674295</v>
      </c>
      <c r="K68" s="123">
        <v>843</v>
      </c>
      <c r="L68" s="129">
        <f>Tabela13[[#This Row],[Matriculados 2°Semestre em Curso]]*7.5%</f>
        <v>63.224999999999994</v>
      </c>
      <c r="M68" s="130">
        <v>25</v>
      </c>
      <c r="N68" s="131">
        <f>IF(Tabela13[[#This Row],[INSCRITOS - Escola de Inovadores - 2°Semestre 2024]]&lt;L68, 0,1)</f>
        <v>0</v>
      </c>
      <c r="O68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68" s="130">
        <v>3</v>
      </c>
      <c r="Q68" s="131">
        <f>IFERROR(IF(Tabela13[[#This Row],[Taxa de Inscritos 2° Semestre 2024]]=0, 0, MIN(1,Tabela13[[#This Row],[CONCLUINTES ESCOLA DE INOVADORES - 2° Semestre 2024]]/Tabela13[[#This Row],[Linha de Base (7,5%) 2°Semestre]])),0)</f>
        <v>0</v>
      </c>
      <c r="R68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68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0.47958492164337146</v>
      </c>
      <c r="T68" s="133">
        <f t="shared" si="0"/>
        <v>0.5</v>
      </c>
    </row>
    <row r="69" spans="1:20">
      <c r="A69" s="80">
        <v>286</v>
      </c>
      <c r="B69" s="619" t="s">
        <v>534</v>
      </c>
      <c r="C69" s="123">
        <v>224</v>
      </c>
      <c r="D69" s="124">
        <f>Tabela13[[#This Row],[Matrículas de alunos em Curso 1° Semestre 2024]]*0.075</f>
        <v>16.8</v>
      </c>
      <c r="E69" s="125">
        <v>12</v>
      </c>
      <c r="F69" s="126">
        <f>IF(Tabela13[[#This Row],[INSCRITOS - Escola de Inovadores - 1° Semestre 2024]]&lt;Tabela13[[#This Row],[Linha de Base (7,5%) 1°Semestre]], 0,1)</f>
        <v>0</v>
      </c>
      <c r="G69" s="127">
        <f>MIN(IF(Tabela13[[#This Row],[INSCRITOS - Escola de Inovadores - 1° Semestre 2024]]&gt;Tabela13[[#This Row],[Linha de Base (7,5%) 1°Semestre]],0.6*Tabela13[[#This Row],[Percentual INSCRITOS - Escola de Inovadores - 2024]],0),1)</f>
        <v>0</v>
      </c>
      <c r="H69" s="128">
        <v>2</v>
      </c>
      <c r="I69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</v>
      </c>
      <c r="J69" s="127">
        <f>IF(Tabela13[[#This Row],[X = Percentual de inscritos na escola de inovadores para o cumprimento de meta ( Peso 0,60)]]=0, 0, Tabela13[[#This Row],[Percentual CONCLUINTES - Escola de Inovadores 2024]]*0.4)</f>
        <v>0</v>
      </c>
      <c r="K69" s="123">
        <v>191</v>
      </c>
      <c r="L69" s="129">
        <f>Tabela13[[#This Row],[Matriculados 2°Semestre em Curso]]*7.5%</f>
        <v>14.324999999999999</v>
      </c>
      <c r="M69" s="130">
        <v>59</v>
      </c>
      <c r="N69" s="131">
        <f>IF(Tabela13[[#This Row],[INSCRITOS - Escola de Inovadores - 2°Semestre 2024]]&lt;L69, 0,1)</f>
        <v>1</v>
      </c>
      <c r="O69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69" s="130">
        <v>16</v>
      </c>
      <c r="Q69" s="131">
        <f>IFERROR(IF(Tabela13[[#This Row],[Taxa de Inscritos 2° Semestre 2024]]=0, 0, MIN(1,Tabela13[[#This Row],[CONCLUINTES ESCOLA DE INOVADORES - 2° Semestre 2024]]/Tabela13[[#This Row],[Linha de Base (7,5%) 2°Semestre]])),0)</f>
        <v>1</v>
      </c>
      <c r="R69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69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</v>
      </c>
      <c r="T69" s="133">
        <f t="shared" ref="T69:T80" si="1">IF(S69&gt;=0.8,100%,IF(S69&gt;=0.7,80%,IF(S69&gt;=0.6,70%,IF(S69&gt;=0.5,60%,IF(S69&gt;=0.4,50%,IF(S69&lt;0.4,0%,))))))</f>
        <v>0</v>
      </c>
    </row>
    <row r="70" spans="1:20">
      <c r="A70" s="80">
        <v>288</v>
      </c>
      <c r="B70" s="619" t="s">
        <v>535</v>
      </c>
      <c r="C70" s="123">
        <v>566</v>
      </c>
      <c r="D70" s="124">
        <f>Tabela13[[#This Row],[Matrículas de alunos em Curso 1° Semestre 2024]]*0.075</f>
        <v>42.449999999999996</v>
      </c>
      <c r="E70" s="125">
        <v>52</v>
      </c>
      <c r="F70" s="126">
        <f>IF(Tabela13[[#This Row],[INSCRITOS - Escola de Inovadores - 1° Semestre 2024]]&lt;Tabela13[[#This Row],[Linha de Base (7,5%) 1°Semestre]], 0,1)</f>
        <v>1</v>
      </c>
      <c r="G70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70" s="128">
        <v>1</v>
      </c>
      <c r="I70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2.3557126030624265E-2</v>
      </c>
      <c r="J70" s="127">
        <f>IF(Tabela13[[#This Row],[X = Percentual de inscritos na escola de inovadores para o cumprimento de meta ( Peso 0,60)]]=0, 0, Tabela13[[#This Row],[Percentual CONCLUINTES - Escola de Inovadores 2024]]*0.4)</f>
        <v>9.4228504122497066E-3</v>
      </c>
      <c r="K70" s="123">
        <v>606</v>
      </c>
      <c r="L70" s="129">
        <f>Tabela13[[#This Row],[Matriculados 2°Semestre em Curso]]*7.5%</f>
        <v>45.449999999999996</v>
      </c>
      <c r="M70" s="130">
        <v>46</v>
      </c>
      <c r="N70" s="131">
        <f>IF(Tabela13[[#This Row],[INSCRITOS - Escola de Inovadores - 2°Semestre 2024]]&lt;L70, 0,1)</f>
        <v>1</v>
      </c>
      <c r="O70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70" s="130">
        <v>8</v>
      </c>
      <c r="Q70" s="131">
        <f>IFERROR(IF(Tabela13[[#This Row],[Taxa de Inscritos 2° Semestre 2024]]=0, 0, MIN(1,Tabela13[[#This Row],[CONCLUINTES ESCOLA DE INOVADORES - 2° Semestre 2024]]/Tabela13[[#This Row],[Linha de Base (7,5%) 2°Semestre]])),0)</f>
        <v>0.17601760176017603</v>
      </c>
      <c r="R70" s="132">
        <f>IF(Tabela13[[#This Row],[X = Percentual de inscritos na escola de inovadores para o cumprimento de meta ( Peso 0,60) 2°Semestre]]=0, 0, ROUND(Tabela13[[#This Row],[Percentual CONCLUINTES - Escola de Inovadores 2024 2°Semestre]]*0.4,1))</f>
        <v>0.1</v>
      </c>
      <c r="S70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0.6547114252061248</v>
      </c>
      <c r="T70" s="133">
        <f t="shared" si="1"/>
        <v>0.7</v>
      </c>
    </row>
    <row r="71" spans="1:20">
      <c r="A71" s="80">
        <v>290</v>
      </c>
      <c r="B71" s="619" t="s">
        <v>536</v>
      </c>
      <c r="C71" s="123">
        <v>324</v>
      </c>
      <c r="D71" s="124">
        <f>Tabela13[[#This Row],[Matrículas de alunos em Curso 1° Semestre 2024]]*0.075</f>
        <v>24.3</v>
      </c>
      <c r="E71" s="125">
        <v>45</v>
      </c>
      <c r="F71" s="126">
        <f>IF(Tabela13[[#This Row],[INSCRITOS - Escola de Inovadores - 1° Semestre 2024]]&lt;Tabela13[[#This Row],[Linha de Base (7,5%) 1°Semestre]], 0,1)</f>
        <v>1</v>
      </c>
      <c r="G71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71" s="128">
        <v>22</v>
      </c>
      <c r="I71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0.90534979423868311</v>
      </c>
      <c r="J71" s="127">
        <f>IF(Tabela13[[#This Row],[X = Percentual de inscritos na escola de inovadores para o cumprimento de meta ( Peso 0,60)]]=0, 0, Tabela13[[#This Row],[Percentual CONCLUINTES - Escola de Inovadores 2024]]*0.4)</f>
        <v>0.36213991769547327</v>
      </c>
      <c r="K71" s="123">
        <v>325</v>
      </c>
      <c r="L71" s="129">
        <f>Tabela13[[#This Row],[Matriculados 2°Semestre em Curso]]*7.5%</f>
        <v>24.375</v>
      </c>
      <c r="M71" s="130">
        <v>59</v>
      </c>
      <c r="N71" s="131">
        <f>IF(Tabela13[[#This Row],[INSCRITOS - Escola de Inovadores - 2°Semestre 2024]]&lt;L71, 0,1)</f>
        <v>1</v>
      </c>
      <c r="O71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71" s="130">
        <v>38</v>
      </c>
      <c r="Q71" s="131">
        <f>IFERROR(IF(Tabela13[[#This Row],[Taxa de Inscritos 2° Semestre 2024]]=0, 0, MIN(1,Tabela13[[#This Row],[CONCLUINTES ESCOLA DE INOVADORES - 2° Semestre 2024]]/Tabela13[[#This Row],[Linha de Base (7,5%) 2°Semestre]])),0)</f>
        <v>1</v>
      </c>
      <c r="R71" s="132">
        <f>IF(Tabela13[[#This Row],[X = Percentual de inscritos na escola de inovadores para o cumprimento de meta ( Peso 0,60) 2°Semestre]]=0, 0, ROUND(Tabela13[[#This Row],[Percentual CONCLUINTES - Escola de Inovadores 2024 2°Semestre]]*0.4,1))</f>
        <v>0.4</v>
      </c>
      <c r="S71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0.98106995884773651</v>
      </c>
      <c r="T71" s="133">
        <f t="shared" si="1"/>
        <v>1</v>
      </c>
    </row>
    <row r="72" spans="1:20">
      <c r="A72" s="80">
        <v>291</v>
      </c>
      <c r="B72" s="619" t="s">
        <v>537</v>
      </c>
      <c r="C72" s="123">
        <v>257</v>
      </c>
      <c r="D72" s="124">
        <f>Tabela13[[#This Row],[Matrículas de alunos em Curso 1° Semestre 2024]]*0.075</f>
        <v>19.274999999999999</v>
      </c>
      <c r="E72" s="125">
        <v>23</v>
      </c>
      <c r="F72" s="126">
        <f>IF(Tabela13[[#This Row],[INSCRITOS - Escola de Inovadores - 1° Semestre 2024]]&lt;Tabela13[[#This Row],[Linha de Base (7,5%) 1°Semestre]], 0,1)</f>
        <v>1</v>
      </c>
      <c r="G72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72" s="128">
        <v>6</v>
      </c>
      <c r="I72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0.31128404669260701</v>
      </c>
      <c r="J72" s="127">
        <f>IF(Tabela13[[#This Row],[X = Percentual de inscritos na escola de inovadores para o cumprimento de meta ( Peso 0,60)]]=0, 0, Tabela13[[#This Row],[Percentual CONCLUINTES - Escola de Inovadores 2024]]*0.4)</f>
        <v>0.1245136186770428</v>
      </c>
      <c r="K72" s="123">
        <v>230</v>
      </c>
      <c r="L72" s="129">
        <f>Tabela13[[#This Row],[Matriculados 2°Semestre em Curso]]*7.5%</f>
        <v>17.25</v>
      </c>
      <c r="M72" s="130">
        <v>21</v>
      </c>
      <c r="N72" s="131">
        <f>IF(Tabela13[[#This Row],[INSCRITOS - Escola de Inovadores - 2°Semestre 2024]]&lt;L72, 0,1)</f>
        <v>1</v>
      </c>
      <c r="O72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72" s="130">
        <v>9</v>
      </c>
      <c r="Q72" s="131">
        <f>IFERROR(IF(Tabela13[[#This Row],[Taxa de Inscritos 2° Semestre 2024]]=0, 0, MIN(1,Tabela13[[#This Row],[CONCLUINTES ESCOLA DE INOVADORES - 2° Semestre 2024]]/Tabela13[[#This Row],[Linha de Base (7,5%) 2°Semestre]])),0)</f>
        <v>0.52173913043478259</v>
      </c>
      <c r="R72" s="132">
        <f>IF(Tabela13[[#This Row],[X = Percentual de inscritos na escola de inovadores para o cumprimento de meta ( Peso 0,60) 2°Semestre]]=0, 0, ROUND(Tabela13[[#This Row],[Percentual CONCLUINTES - Escola de Inovadores 2024 2°Semestre]]*0.4,1))</f>
        <v>0.2</v>
      </c>
      <c r="S72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0.76225680933852136</v>
      </c>
      <c r="T72" s="133">
        <f t="shared" si="1"/>
        <v>0.8</v>
      </c>
    </row>
    <row r="73" spans="1:20">
      <c r="A73" s="80">
        <v>292</v>
      </c>
      <c r="B73" s="619" t="s">
        <v>538</v>
      </c>
      <c r="C73" s="123">
        <v>466</v>
      </c>
      <c r="D73" s="124">
        <f>Tabela13[[#This Row],[Matrículas de alunos em Curso 1° Semestre 2024]]*0.075</f>
        <v>34.949999999999996</v>
      </c>
      <c r="E73" s="125">
        <v>98</v>
      </c>
      <c r="F73" s="126">
        <f>IF(Tabela13[[#This Row],[INSCRITOS - Escola de Inovadores - 1° Semestre 2024]]&lt;Tabela13[[#This Row],[Linha de Base (7,5%) 1°Semestre]], 0,1)</f>
        <v>1</v>
      </c>
      <c r="G73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73" s="128">
        <v>67</v>
      </c>
      <c r="I73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1</v>
      </c>
      <c r="J73" s="127">
        <f>IF(Tabela13[[#This Row],[X = Percentual de inscritos na escola de inovadores para o cumprimento de meta ( Peso 0,60)]]=0, 0, Tabela13[[#This Row],[Percentual CONCLUINTES - Escola de Inovadores 2024]]*0.4)</f>
        <v>0.4</v>
      </c>
      <c r="K73" s="123">
        <v>472</v>
      </c>
      <c r="L73" s="129">
        <f>Tabela13[[#This Row],[Matriculados 2°Semestre em Curso]]*7.5%</f>
        <v>35.4</v>
      </c>
      <c r="M73" s="130">
        <v>66</v>
      </c>
      <c r="N73" s="131">
        <f>IF(Tabela13[[#This Row],[INSCRITOS - Escola de Inovadores - 2°Semestre 2024]]&lt;L73, 0,1)</f>
        <v>1</v>
      </c>
      <c r="O73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73" s="130">
        <v>46</v>
      </c>
      <c r="Q73" s="131">
        <f>IFERROR(IF(Tabela13[[#This Row],[Taxa de Inscritos 2° Semestre 2024]]=0, 0, MIN(1,Tabela13[[#This Row],[CONCLUINTES ESCOLA DE INOVADORES - 2° Semestre 2024]]/Tabela13[[#This Row],[Linha de Base (7,5%) 2°Semestre]])),0)</f>
        <v>1</v>
      </c>
      <c r="R73" s="132">
        <f>IF(Tabela13[[#This Row],[X = Percentual de inscritos na escola de inovadores para o cumprimento de meta ( Peso 0,60) 2°Semestre]]=0, 0, ROUND(Tabela13[[#This Row],[Percentual CONCLUINTES - Escola de Inovadores 2024 2°Semestre]]*0.4,1))</f>
        <v>0.4</v>
      </c>
      <c r="S73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1</v>
      </c>
      <c r="T73" s="133">
        <f t="shared" si="1"/>
        <v>1</v>
      </c>
    </row>
    <row r="74" spans="1:20">
      <c r="A74" s="80">
        <v>294</v>
      </c>
      <c r="B74" s="619" t="s">
        <v>539</v>
      </c>
      <c r="C74" s="123">
        <v>376</v>
      </c>
      <c r="D74" s="124">
        <f>Tabela13[[#This Row],[Matrículas de alunos em Curso 1° Semestre 2024]]*0.075</f>
        <v>28.2</v>
      </c>
      <c r="E74" s="125">
        <v>112</v>
      </c>
      <c r="F74" s="126">
        <f>IF(Tabela13[[#This Row],[INSCRITOS - Escola de Inovadores - 1° Semestre 2024]]&lt;Tabela13[[#This Row],[Linha de Base (7,5%) 1°Semestre]], 0,1)</f>
        <v>1</v>
      </c>
      <c r="G74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74" s="128">
        <v>78</v>
      </c>
      <c r="I74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1</v>
      </c>
      <c r="J74" s="127">
        <f>IF(Tabela13[[#This Row],[X = Percentual de inscritos na escola de inovadores para o cumprimento de meta ( Peso 0,60)]]=0, 0, Tabela13[[#This Row],[Percentual CONCLUINTES - Escola de Inovadores 2024]]*0.4)</f>
        <v>0.4</v>
      </c>
      <c r="K74" s="123">
        <v>408</v>
      </c>
      <c r="L74" s="129">
        <f>Tabela13[[#This Row],[Matriculados 2°Semestre em Curso]]*7.5%</f>
        <v>30.599999999999998</v>
      </c>
      <c r="M74" s="130">
        <v>44</v>
      </c>
      <c r="N74" s="131">
        <f>IF(Tabela13[[#This Row],[INSCRITOS - Escola de Inovadores - 2°Semestre 2024]]&lt;L74, 0,1)</f>
        <v>1</v>
      </c>
      <c r="O74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74" s="130">
        <v>29</v>
      </c>
      <c r="Q74" s="131">
        <f>IFERROR(IF(Tabela13[[#This Row],[Taxa de Inscritos 2° Semestre 2024]]=0, 0, MIN(1,Tabela13[[#This Row],[CONCLUINTES ESCOLA DE INOVADORES - 2° Semestre 2024]]/Tabela13[[#This Row],[Linha de Base (7,5%) 2°Semestre]])),0)</f>
        <v>0.94771241830065367</v>
      </c>
      <c r="R74" s="132">
        <f>IF(Tabela13[[#This Row],[X = Percentual de inscritos na escola de inovadores para o cumprimento de meta ( Peso 0,60) 2°Semestre]]=0, 0, ROUND(Tabela13[[#This Row],[Percentual CONCLUINTES - Escola de Inovadores 2024 2°Semestre]]*0.4,1))</f>
        <v>0.4</v>
      </c>
      <c r="S74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1</v>
      </c>
      <c r="T74" s="133">
        <f t="shared" si="1"/>
        <v>1</v>
      </c>
    </row>
    <row r="75" spans="1:20">
      <c r="A75" s="80">
        <v>296</v>
      </c>
      <c r="B75" s="619" t="s">
        <v>540</v>
      </c>
      <c r="C75" s="123">
        <v>460</v>
      </c>
      <c r="D75" s="124">
        <f>Tabela13[[#This Row],[Matrículas de alunos em Curso 1° Semestre 2024]]*0.075</f>
        <v>34.5</v>
      </c>
      <c r="E75" s="125">
        <v>73</v>
      </c>
      <c r="F75" s="126">
        <f>IF(Tabela13[[#This Row],[INSCRITOS - Escola de Inovadores - 1° Semestre 2024]]&lt;Tabela13[[#This Row],[Linha de Base (7,5%) 1°Semestre]], 0,1)</f>
        <v>1</v>
      </c>
      <c r="G75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75" s="128">
        <v>31</v>
      </c>
      <c r="I75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0.89855072463768115</v>
      </c>
      <c r="J75" s="127">
        <f>IF(Tabela13[[#This Row],[X = Percentual de inscritos na escola de inovadores para o cumprimento de meta ( Peso 0,60)]]=0, 0, Tabela13[[#This Row],[Percentual CONCLUINTES - Escola de Inovadores 2024]]*0.4)</f>
        <v>0.35942028985507246</v>
      </c>
      <c r="K75" s="123">
        <v>506</v>
      </c>
      <c r="L75" s="129">
        <f>Tabela13[[#This Row],[Matriculados 2°Semestre em Curso]]*7.5%</f>
        <v>37.949999999999996</v>
      </c>
      <c r="M75" s="130">
        <v>121</v>
      </c>
      <c r="N75" s="131">
        <f>IF(Tabela13[[#This Row],[INSCRITOS - Escola de Inovadores - 2°Semestre 2024]]&lt;L75, 0,1)</f>
        <v>1</v>
      </c>
      <c r="O75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75" s="130">
        <v>89</v>
      </c>
      <c r="Q75" s="131">
        <f>IFERROR(IF(Tabela13[[#This Row],[Taxa de Inscritos 2° Semestre 2024]]=0, 0, MIN(1,Tabela13[[#This Row],[CONCLUINTES ESCOLA DE INOVADORES - 2° Semestre 2024]]/Tabela13[[#This Row],[Linha de Base (7,5%) 2°Semestre]])),0)</f>
        <v>1</v>
      </c>
      <c r="R75" s="132">
        <f>IF(Tabela13[[#This Row],[X = Percentual de inscritos na escola de inovadores para o cumprimento de meta ( Peso 0,60) 2°Semestre]]=0, 0, ROUND(Tabela13[[#This Row],[Percentual CONCLUINTES - Escola de Inovadores 2024 2°Semestre]]*0.4,1))</f>
        <v>0.4</v>
      </c>
      <c r="S75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0.97971014492753628</v>
      </c>
      <c r="T75" s="133">
        <f t="shared" si="1"/>
        <v>1</v>
      </c>
    </row>
    <row r="76" spans="1:20">
      <c r="A76" s="80">
        <v>297</v>
      </c>
      <c r="B76" s="619" t="s">
        <v>541</v>
      </c>
      <c r="C76" s="123">
        <v>312</v>
      </c>
      <c r="D76" s="124">
        <f>Tabela13[[#This Row],[Matrículas de alunos em Curso 1° Semestre 2024]]*0.075</f>
        <v>23.4</v>
      </c>
      <c r="E76" s="125">
        <v>51</v>
      </c>
      <c r="F76" s="126">
        <f>IF(Tabela13[[#This Row],[INSCRITOS - Escola de Inovadores - 1° Semestre 2024]]&lt;Tabela13[[#This Row],[Linha de Base (7,5%) 1°Semestre]], 0,1)</f>
        <v>1</v>
      </c>
      <c r="G76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76" s="128">
        <v>1</v>
      </c>
      <c r="I76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4.2735042735042736E-2</v>
      </c>
      <c r="J76" s="127">
        <f>IF(Tabela13[[#This Row],[X = Percentual de inscritos na escola de inovadores para o cumprimento de meta ( Peso 0,60)]]=0, 0, Tabela13[[#This Row],[Percentual CONCLUINTES - Escola de Inovadores 2024]]*0.4)</f>
        <v>1.7094017094017096E-2</v>
      </c>
      <c r="K76" s="123">
        <v>322</v>
      </c>
      <c r="L76" s="129">
        <f>Tabela13[[#This Row],[Matriculados 2°Semestre em Curso]]*7.5%</f>
        <v>24.15</v>
      </c>
      <c r="M76" s="130">
        <v>43</v>
      </c>
      <c r="N76" s="131">
        <f>IF(Tabela13[[#This Row],[INSCRITOS - Escola de Inovadores - 2°Semestre 2024]]&lt;L76, 0,1)</f>
        <v>1</v>
      </c>
      <c r="O76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76" s="130">
        <v>0</v>
      </c>
      <c r="Q76" s="131">
        <f>IFERROR(IF(Tabela13[[#This Row],[Taxa de Inscritos 2° Semestre 2024]]=0, 0, MIN(1,Tabela13[[#This Row],[CONCLUINTES ESCOLA DE INOVADORES - 2° Semestre 2024]]/Tabela13[[#This Row],[Linha de Base (7,5%) 2°Semestre]])),0)</f>
        <v>0</v>
      </c>
      <c r="R76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76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0.60854700854700861</v>
      </c>
      <c r="T76" s="133">
        <f t="shared" si="1"/>
        <v>0.7</v>
      </c>
    </row>
    <row r="77" spans="1:20">
      <c r="A77" s="80">
        <v>298</v>
      </c>
      <c r="B77" s="619" t="s">
        <v>542</v>
      </c>
      <c r="C77" s="123">
        <v>202</v>
      </c>
      <c r="D77" s="124">
        <f>Tabela13[[#This Row],[Matrículas de alunos em Curso 1° Semestre 2024]]*0.075</f>
        <v>15.149999999999999</v>
      </c>
      <c r="E77" s="125">
        <v>12</v>
      </c>
      <c r="F77" s="126">
        <f>IF(Tabela13[[#This Row],[INSCRITOS - Escola de Inovadores - 1° Semestre 2024]]&lt;Tabela13[[#This Row],[Linha de Base (7,5%) 1°Semestre]], 0,1)</f>
        <v>0</v>
      </c>
      <c r="G77" s="127">
        <f>MIN(IF(Tabela13[[#This Row],[INSCRITOS - Escola de Inovadores - 1° Semestre 2024]]&gt;Tabela13[[#This Row],[Linha de Base (7,5%) 1°Semestre]],0.6*Tabela13[[#This Row],[Percentual INSCRITOS - Escola de Inovadores - 2024]],0),1)</f>
        <v>0</v>
      </c>
      <c r="H77" s="128">
        <v>0</v>
      </c>
      <c r="I77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</v>
      </c>
      <c r="J77" s="127">
        <f>IF(Tabela13[[#This Row],[X = Percentual de inscritos na escola de inovadores para o cumprimento de meta ( Peso 0,60)]]=0, 0, Tabela13[[#This Row],[Percentual CONCLUINTES - Escola de Inovadores 2024]]*0.4)</f>
        <v>0</v>
      </c>
      <c r="K77" s="123">
        <v>150</v>
      </c>
      <c r="L77" s="129">
        <f>Tabela13[[#This Row],[Matriculados 2°Semestre em Curso]]*7.5%</f>
        <v>11.25</v>
      </c>
      <c r="M77" s="130">
        <v>48</v>
      </c>
      <c r="N77" s="131">
        <f>IF(Tabela13[[#This Row],[INSCRITOS - Escola de Inovadores - 2°Semestre 2024]]&lt;L77, 0,1)</f>
        <v>1</v>
      </c>
      <c r="O77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77" s="130">
        <v>6</v>
      </c>
      <c r="Q77" s="131">
        <f>IFERROR(IF(Tabela13[[#This Row],[Taxa de Inscritos 2° Semestre 2024]]=0, 0, MIN(1,Tabela13[[#This Row],[CONCLUINTES ESCOLA DE INOVADORES - 2° Semestre 2024]]/Tabela13[[#This Row],[Linha de Base (7,5%) 2°Semestre]])),0)</f>
        <v>0.53333333333333333</v>
      </c>
      <c r="R77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77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</v>
      </c>
      <c r="T77" s="133">
        <f t="shared" si="1"/>
        <v>0</v>
      </c>
    </row>
    <row r="78" spans="1:20">
      <c r="A78" s="80">
        <v>299</v>
      </c>
      <c r="B78" s="619" t="s">
        <v>543</v>
      </c>
      <c r="C78" s="123">
        <v>178</v>
      </c>
      <c r="D78" s="124">
        <f>Tabela13[[#This Row],[Matrículas de alunos em Curso 1° Semestre 2024]]*0.075</f>
        <v>13.35</v>
      </c>
      <c r="E78" s="125">
        <v>63</v>
      </c>
      <c r="F78" s="126">
        <f>IF(Tabela13[[#This Row],[INSCRITOS - Escola de Inovadores - 1° Semestre 2024]]&lt;Tabela13[[#This Row],[Linha de Base (7,5%) 1°Semestre]], 0,1)</f>
        <v>1</v>
      </c>
      <c r="G78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78" s="128">
        <v>17</v>
      </c>
      <c r="I78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1</v>
      </c>
      <c r="J78" s="127">
        <f>IF(Tabela13[[#This Row],[X = Percentual de inscritos na escola de inovadores para o cumprimento de meta ( Peso 0,60)]]=0, 0, Tabela13[[#This Row],[Percentual CONCLUINTES - Escola de Inovadores 2024]]*0.4)</f>
        <v>0.4</v>
      </c>
      <c r="K78" s="123">
        <v>219</v>
      </c>
      <c r="L78" s="129">
        <f>Tabela13[[#This Row],[Matriculados 2°Semestre em Curso]]*7.5%</f>
        <v>16.425000000000001</v>
      </c>
      <c r="M78" s="130">
        <v>57</v>
      </c>
      <c r="N78" s="131">
        <f>IF(Tabela13[[#This Row],[INSCRITOS - Escola de Inovadores - 2°Semestre 2024]]&lt;L78, 0,1)</f>
        <v>1</v>
      </c>
      <c r="O78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78" s="130">
        <v>35</v>
      </c>
      <c r="Q78" s="131">
        <f>IFERROR(IF(Tabela13[[#This Row],[Taxa de Inscritos 2° Semestre 2024]]=0, 0, MIN(1,Tabela13[[#This Row],[CONCLUINTES ESCOLA DE INOVADORES - 2° Semestre 2024]]/Tabela13[[#This Row],[Linha de Base (7,5%) 2°Semestre]])),0)</f>
        <v>1</v>
      </c>
      <c r="R78" s="132">
        <f>IF(Tabela13[[#This Row],[X = Percentual de inscritos na escola de inovadores para o cumprimento de meta ( Peso 0,60) 2°Semestre]]=0, 0, ROUND(Tabela13[[#This Row],[Percentual CONCLUINTES - Escola de Inovadores 2024 2°Semestre]]*0.4,1))</f>
        <v>0.4</v>
      </c>
      <c r="S78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1</v>
      </c>
      <c r="T78" s="133">
        <f t="shared" si="1"/>
        <v>1</v>
      </c>
    </row>
    <row r="79" spans="1:20">
      <c r="A79" s="80">
        <v>301</v>
      </c>
      <c r="B79" s="619" t="s">
        <v>544</v>
      </c>
      <c r="C79" s="123">
        <v>234</v>
      </c>
      <c r="D79" s="124">
        <f>Tabela13[[#This Row],[Matrículas de alunos em Curso 1° Semestre 2024]]*0.075</f>
        <v>17.55</v>
      </c>
      <c r="E79" s="125">
        <v>39</v>
      </c>
      <c r="F79" s="126">
        <f>IF(Tabela13[[#This Row],[INSCRITOS - Escola de Inovadores - 1° Semestre 2024]]&lt;Tabela13[[#This Row],[Linha de Base (7,5%) 1°Semestre]], 0,1)</f>
        <v>1</v>
      </c>
      <c r="G79" s="127">
        <f>MIN(IF(Tabela13[[#This Row],[INSCRITOS - Escola de Inovadores - 1° Semestre 2024]]&gt;Tabela13[[#This Row],[Linha de Base (7,5%) 1°Semestre]],0.6*Tabela13[[#This Row],[Percentual INSCRITOS - Escola de Inovadores - 2024]],0),1)</f>
        <v>0.6</v>
      </c>
      <c r="H79" s="128">
        <v>8</v>
      </c>
      <c r="I79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0.45584045584045585</v>
      </c>
      <c r="J79" s="127">
        <f>IF(Tabela13[[#This Row],[X = Percentual de inscritos na escola de inovadores para o cumprimento de meta ( Peso 0,60)]]=0, 0, Tabela13[[#This Row],[Percentual CONCLUINTES - Escola de Inovadores 2024]]*0.4)</f>
        <v>0.18233618233618235</v>
      </c>
      <c r="K79" s="123">
        <v>283</v>
      </c>
      <c r="L79" s="129">
        <f>Tabela13[[#This Row],[Matriculados 2°Semestre em Curso]]*7.5%</f>
        <v>21.224999999999998</v>
      </c>
      <c r="M79" s="130">
        <v>47</v>
      </c>
      <c r="N79" s="131">
        <f>IF(Tabela13[[#This Row],[INSCRITOS - Escola de Inovadores - 2°Semestre 2024]]&lt;L79, 0,1)</f>
        <v>1</v>
      </c>
      <c r="O79" s="132">
        <f>MIN(IF(Tabela13[[#This Row],[INSCRITOS - Escola de Inovadores - 2°Semestre 2024]]&gt;Tabela13[[#This Row],[Linha de Base (7,5%) 2°Semestre]],0.6*Tabela13[[#This Row],[Percentual INSCRITOS - Escola de Inovadores - 2024]],0),1)</f>
        <v>0.6</v>
      </c>
      <c r="P79" s="130">
        <v>16</v>
      </c>
      <c r="Q79" s="131">
        <f>IFERROR(IF(Tabela13[[#This Row],[Taxa de Inscritos 2° Semestre 2024]]=0, 0, MIN(1,Tabela13[[#This Row],[CONCLUINTES ESCOLA DE INOVADORES - 2° Semestre 2024]]/Tabela13[[#This Row],[Linha de Base (7,5%) 2°Semestre]])),0)</f>
        <v>0.75382803297997647</v>
      </c>
      <c r="R79" s="132">
        <f>IF(Tabela13[[#This Row],[X = Percentual de inscritos na escola de inovadores para o cumprimento de meta ( Peso 0,60) 2°Semestre]]=0, 0, ROUND(Tabela13[[#This Row],[Percentual CONCLUINTES - Escola de Inovadores 2024 2°Semestre]]*0.4,1))</f>
        <v>0.3</v>
      </c>
      <c r="S79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0.8411680911680911</v>
      </c>
      <c r="T79" s="133">
        <f t="shared" si="1"/>
        <v>1</v>
      </c>
    </row>
    <row r="80" spans="1:20">
      <c r="A80" s="80">
        <v>305</v>
      </c>
      <c r="B80" s="619" t="s">
        <v>547</v>
      </c>
      <c r="C80" s="134">
        <v>66</v>
      </c>
      <c r="D80" s="124">
        <f>Tabela13[[#This Row],[Matrículas de alunos em Curso 1° Semestre 2024]]*0.075</f>
        <v>4.95</v>
      </c>
      <c r="E80" s="135">
        <v>0</v>
      </c>
      <c r="F80" s="126">
        <f>IF(Tabela13[[#This Row],[INSCRITOS - Escola de Inovadores - 1° Semestre 2024]]&lt;Tabela13[[#This Row],[Linha de Base (7,5%) 1°Semestre]], 0,1)</f>
        <v>0</v>
      </c>
      <c r="G80" s="127">
        <f>MIN(IF(Tabela13[[#This Row],[INSCRITOS - Escola de Inovadores - 1° Semestre 2024]]&gt;Tabela13[[#This Row],[Linha de Base (7,5%) 1°Semestre]],0.6*Tabela13[[#This Row],[Percentual INSCRITOS - Escola de Inovadores - 2024]],0),1)</f>
        <v>0</v>
      </c>
      <c r="H80" s="136">
        <v>0</v>
      </c>
      <c r="I80" s="126">
        <f>IF(Tabela13[[#This Row],[X = Percentual de inscritos na escola de inovadores para o cumprimento de meta ( Peso 0,60)]]=0,
   0,
   MIN(IFERROR(Tabela13[[#This Row],[CONCLUINTES ESCOLA DE INOVADORES - 1° Semestre 2024]] / Tabela13[[#This Row],[Linha de Base (7,5%) 1°Semestre]], 0), 1)
)</f>
        <v>0</v>
      </c>
      <c r="J80" s="127">
        <f>IF(Tabela13[[#This Row],[X = Percentual de inscritos na escola de inovadores para o cumprimento de meta ( Peso 0,60)]]=0, 0, Tabela13[[#This Row],[Percentual CONCLUINTES - Escola de Inovadores 2024]]*0.4)</f>
        <v>0</v>
      </c>
      <c r="K80" s="134">
        <v>87</v>
      </c>
      <c r="L80" s="129">
        <f>Tabela13[[#This Row],[Matriculados 2°Semestre em Curso]]*7.5%</f>
        <v>6.5249999999999995</v>
      </c>
      <c r="M80" s="130">
        <v>13</v>
      </c>
      <c r="N80" s="131">
        <f>IF(Tabela13[[#This Row],[INSCRITOS - Escola de Inovadores - 2°Semestre 2024]]&lt;L80, 0,1)</f>
        <v>1</v>
      </c>
      <c r="O80" s="132">
        <f>MIN(IF(Tabela13[[#This Row],[INSCRITOS - Escola de Inovadores - 2°Semestre 2024]]&gt;Tabela13[[#This Row],[Linha de Base (7,5%) 2°Semestre]],0.6*Tabela13[[#This Row],[Percentual INSCRITOS - Escola de Inovadores - 2024]],0),1)</f>
        <v>0</v>
      </c>
      <c r="P80" s="130">
        <v>0</v>
      </c>
      <c r="Q80" s="131">
        <f>IFERROR(IF(Tabela13[[#This Row],[Taxa de Inscritos 2° Semestre 2024]]=0, 0, MIN(1,Tabela13[[#This Row],[CONCLUINTES ESCOLA DE INOVADORES - 2° Semestre 2024]]/Tabela13[[#This Row],[Linha de Base (7,5%) 2°Semestre]])),0)</f>
        <v>0</v>
      </c>
      <c r="R80" s="132">
        <f>IF(Tabela13[[#This Row],[X = Percentual de inscritos na escola de inovadores para o cumprimento de meta ( Peso 0,60) 2°Semestre]]=0, 0, ROUND(Tabela13[[#This Row],[Percentual CONCLUINTES - Escola de Inovadores 2024 2°Semestre]]*0.4,1))</f>
        <v>0</v>
      </c>
      <c r="S80" s="126">
        <f>(Tabela13[[#This Row],[X = Percentual de inscritos na escola de inovadores para o cumprimento de meta ( Peso 0,60)]]
+ Tabela13[[#This Row],[Y = percentual de concluinte na escola de inovadores para cumprimento de meta ( Peso 0,40)]]
+ Tabela13[[#This Row],[X = Percentual de inscritos na escola de inovadores para o cumprimento de meta ( Peso 0,60) 2°Semestre]]
+ Tabela13[[#This Row],[Y = percentual de concluinte na escola de inovadores para cumprimento de meta ( Peso 0,40) 2°Semestre]]) / 2</f>
        <v>0</v>
      </c>
      <c r="T80" s="133">
        <f t="shared" si="1"/>
        <v>0</v>
      </c>
    </row>
  </sheetData>
  <mergeCells count="5">
    <mergeCell ref="A1:T1"/>
    <mergeCell ref="C2:D2"/>
    <mergeCell ref="E2:J2"/>
    <mergeCell ref="K2:L2"/>
    <mergeCell ref="M2:R2"/>
  </mergeCells>
  <pageMargins left="0.511811024" right="0.511811024" top="0.78740157499999996" bottom="0.78740157499999996" header="0.31496062000000002" footer="0.31496062000000002"/>
  <legacy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747F7-756C-4A85-B829-A433F23E9BEE}">
  <sheetPr>
    <tabColor rgb="FFFFFF00"/>
  </sheetPr>
  <dimension ref="A1:AG232"/>
  <sheetViews>
    <sheetView showGridLines="0" zoomScale="70" zoomScaleNormal="70" workbookViewId="0">
      <selection activeCell="O16" sqref="O16"/>
    </sheetView>
  </sheetViews>
  <sheetFormatPr defaultColWidth="8.85546875" defaultRowHeight="15.75"/>
  <cols>
    <col min="1" max="1" width="11.28515625" style="303" bestFit="1" customWidth="1"/>
    <col min="2" max="2" width="56.85546875" style="326" customWidth="1"/>
    <col min="3" max="3" width="17.7109375" style="303" customWidth="1"/>
    <col min="4" max="4" width="12.28515625" style="303" customWidth="1"/>
    <col min="5" max="5" width="15.28515625" style="303" bestFit="1" customWidth="1"/>
    <col min="6" max="6" width="9.140625" style="303" bestFit="1" customWidth="1"/>
    <col min="7" max="7" width="17.28515625" style="303" customWidth="1"/>
    <col min="8" max="8" width="14.7109375" style="303" hidden="1" customWidth="1"/>
    <col min="9" max="9" width="11.85546875" style="303" hidden="1" customWidth="1"/>
    <col min="10" max="10" width="12.5703125" style="303" bestFit="1" customWidth="1"/>
    <col min="11" max="11" width="9.7109375" style="303" bestFit="1" customWidth="1"/>
    <col min="12" max="12" width="19.85546875" style="303" customWidth="1"/>
    <col min="13" max="13" width="15.28515625" style="303" hidden="1" customWidth="1"/>
    <col min="14" max="14" width="13.28515625" style="303" hidden="1" customWidth="1"/>
    <col min="15" max="15" width="12.5703125" style="303" bestFit="1" customWidth="1"/>
    <col min="16" max="16" width="9.140625" style="303" bestFit="1" customWidth="1"/>
    <col min="17" max="17" width="25.7109375" style="303" customWidth="1"/>
    <col min="18" max="19" width="16.42578125" style="303" customWidth="1"/>
    <col min="20" max="20" width="33.42578125" style="303" customWidth="1"/>
    <col min="21" max="21" width="15.5703125" style="303" bestFit="1" customWidth="1"/>
    <col min="22" max="22" width="20.28515625" style="303" customWidth="1"/>
    <col min="23" max="23" width="26.85546875" style="303" customWidth="1"/>
    <col min="24" max="24" width="9.140625" style="303" bestFit="1" customWidth="1"/>
    <col min="25" max="25" width="12" style="303" bestFit="1" customWidth="1"/>
    <col min="26" max="26" width="9.140625" style="303" bestFit="1" customWidth="1"/>
    <col min="27" max="27" width="8.85546875" style="303"/>
    <col min="28" max="28" width="19.85546875" style="303" customWidth="1"/>
    <col min="29" max="29" width="15.85546875" style="303" customWidth="1"/>
    <col min="30" max="30" width="12.7109375" style="303" customWidth="1"/>
    <col min="31" max="31" width="21.7109375" style="303" customWidth="1"/>
    <col min="32" max="32" width="12.140625" style="303" customWidth="1"/>
    <col min="33" max="16384" width="8.85546875" style="303"/>
  </cols>
  <sheetData>
    <row r="1" spans="1:30" s="332" customFormat="1" ht="72" customHeight="1">
      <c r="A1" s="333" t="s">
        <v>707</v>
      </c>
      <c r="B1" s="333"/>
      <c r="C1" s="327" t="s">
        <v>583</v>
      </c>
      <c r="D1" s="327"/>
      <c r="E1" s="327"/>
      <c r="F1" s="327"/>
      <c r="G1" s="327"/>
      <c r="H1" s="328" t="s">
        <v>584</v>
      </c>
      <c r="I1" s="328"/>
      <c r="J1" s="328"/>
      <c r="K1" s="328"/>
      <c r="L1" s="328"/>
      <c r="M1" s="328" t="s">
        <v>585</v>
      </c>
      <c r="N1" s="328"/>
      <c r="O1" s="328"/>
      <c r="P1" s="328"/>
      <c r="Q1" s="328"/>
      <c r="R1" s="329" t="s">
        <v>552</v>
      </c>
      <c r="S1" s="329"/>
      <c r="T1" s="329"/>
      <c r="U1" s="330" t="s">
        <v>571</v>
      </c>
      <c r="V1" s="330"/>
      <c r="W1" s="330"/>
      <c r="X1" s="331" t="s">
        <v>597</v>
      </c>
      <c r="Y1" s="331"/>
      <c r="Z1" s="331"/>
    </row>
    <row r="2" spans="1:30" ht="17.45" customHeight="1">
      <c r="A2" s="333"/>
      <c r="B2" s="333"/>
      <c r="C2" s="304">
        <v>40</v>
      </c>
      <c r="D2" s="304"/>
      <c r="E2" s="304"/>
      <c r="F2" s="304"/>
      <c r="G2" s="304"/>
      <c r="H2" s="305">
        <v>15</v>
      </c>
      <c r="I2" s="305"/>
      <c r="J2" s="305"/>
      <c r="K2" s="305"/>
      <c r="L2" s="305"/>
      <c r="M2" s="305">
        <v>15</v>
      </c>
      <c r="N2" s="305"/>
      <c r="O2" s="305"/>
      <c r="P2" s="305"/>
      <c r="Q2" s="305"/>
      <c r="R2" s="306">
        <v>15</v>
      </c>
      <c r="S2" s="306"/>
      <c r="T2" s="306"/>
      <c r="U2" s="307">
        <v>15</v>
      </c>
      <c r="V2" s="307"/>
      <c r="W2" s="307"/>
      <c r="X2" s="308">
        <v>100</v>
      </c>
      <c r="Y2" s="308"/>
      <c r="Z2" s="308"/>
    </row>
    <row r="3" spans="1:30" s="349" customFormat="1" ht="67.900000000000006" customHeight="1">
      <c r="A3" s="620" t="s">
        <v>0</v>
      </c>
      <c r="B3" s="620" t="s">
        <v>227</v>
      </c>
      <c r="C3" s="621" t="s">
        <v>654</v>
      </c>
      <c r="D3" s="621" t="s">
        <v>655</v>
      </c>
      <c r="E3" s="621" t="s">
        <v>598</v>
      </c>
      <c r="F3" s="621" t="s">
        <v>568</v>
      </c>
      <c r="G3" s="621" t="s">
        <v>565</v>
      </c>
      <c r="H3" s="622" t="s">
        <v>701</v>
      </c>
      <c r="I3" s="622" t="s">
        <v>702</v>
      </c>
      <c r="J3" s="622" t="s">
        <v>703</v>
      </c>
      <c r="K3" s="622" t="s">
        <v>625</v>
      </c>
      <c r="L3" s="622" t="s">
        <v>586</v>
      </c>
      <c r="M3" s="622" t="s">
        <v>704</v>
      </c>
      <c r="N3" s="622" t="s">
        <v>705</v>
      </c>
      <c r="O3" s="622" t="s">
        <v>706</v>
      </c>
      <c r="P3" s="622" t="s">
        <v>641</v>
      </c>
      <c r="Q3" s="622" t="s">
        <v>587</v>
      </c>
      <c r="R3" s="623" t="s">
        <v>608</v>
      </c>
      <c r="S3" s="623" t="s">
        <v>642</v>
      </c>
      <c r="T3" s="623" t="s">
        <v>588</v>
      </c>
      <c r="U3" s="624" t="s">
        <v>589</v>
      </c>
      <c r="V3" s="624" t="s">
        <v>643</v>
      </c>
      <c r="W3" s="624" t="s">
        <v>590</v>
      </c>
      <c r="X3" s="625" t="s">
        <v>591</v>
      </c>
      <c r="Y3" s="625" t="s">
        <v>545</v>
      </c>
      <c r="Z3" s="626" t="s">
        <v>592</v>
      </c>
    </row>
    <row r="4" spans="1:30" s="349" customFormat="1" ht="18.75">
      <c r="A4" s="334">
        <v>6</v>
      </c>
      <c r="B4" s="370" t="s">
        <v>160</v>
      </c>
      <c r="C4" s="335">
        <v>44.999435000000005</v>
      </c>
      <c r="D4" s="336">
        <v>69.229900000000001</v>
      </c>
      <c r="E4" s="337">
        <v>57.081741787624139</v>
      </c>
      <c r="F4" s="335">
        <v>0.5</v>
      </c>
      <c r="G4" s="338">
        <f>Tabela3521[[#This Row],[ICM]]*$C$2</f>
        <v>20</v>
      </c>
      <c r="H4" s="339">
        <v>154.062285</v>
      </c>
      <c r="I4" s="340">
        <v>237.0189</v>
      </c>
      <c r="J4" s="341">
        <v>236.18843683083509</v>
      </c>
      <c r="K4" s="341">
        <v>0.98998918688805093</v>
      </c>
      <c r="L4" s="342">
        <f>Tabela3521[[#This Row],[ICM    ]]*$H$2</f>
        <v>14.849837803320764</v>
      </c>
      <c r="M4" s="340">
        <v>145.31458499999999</v>
      </c>
      <c r="N4" s="340">
        <v>223.5609</v>
      </c>
      <c r="O4" s="341">
        <v>118.91868108108106</v>
      </c>
      <c r="P4" s="343">
        <v>1</v>
      </c>
      <c r="Q4" s="342">
        <f>Tabela3521[[#This Row],[ICM      ]]*$M$2</f>
        <v>15</v>
      </c>
      <c r="R4" s="344">
        <v>0.5</v>
      </c>
      <c r="S4" s="345">
        <v>0.6</v>
      </c>
      <c r="T4" s="344">
        <f t="shared" ref="T4:T67" si="0">S4*$R$2</f>
        <v>9</v>
      </c>
      <c r="U4" s="346">
        <v>98.638426626323749</v>
      </c>
      <c r="V4" s="346">
        <v>1</v>
      </c>
      <c r="W4" s="346">
        <f t="shared" ref="W4:W67" si="1">V4*$U$2</f>
        <v>15</v>
      </c>
      <c r="X4" s="347">
        <f t="shared" ref="X4:X67" si="2">(IF(ISBLANK(E4),0,$C$2))+(IF(ISBLANK(J4),0,$H$2))+(IF(ISBLANK(O4),0,$M$2))+(IF(ISBLANK(R4),0,$R$2)+(IF(ISBLANK(U4),0,$U$2)))</f>
        <v>100</v>
      </c>
      <c r="Y4" s="348">
        <f t="shared" ref="Y4:Y67" si="3">SUM(G4,L4,Q4,T4,W4)</f>
        <v>73.849837803320767</v>
      </c>
      <c r="Z4" s="348">
        <f t="shared" ref="Z4:Z67" si="4">Y4/X4</f>
        <v>0.73849837803320773</v>
      </c>
    </row>
    <row r="5" spans="1:30" s="349" customFormat="1" ht="18.75">
      <c r="A5" s="334">
        <v>7</v>
      </c>
      <c r="B5" s="370" t="s">
        <v>64</v>
      </c>
      <c r="C5" s="335">
        <v>48.123010000000001</v>
      </c>
      <c r="D5" s="336">
        <v>74.035399999999996</v>
      </c>
      <c r="E5" s="337">
        <v>73.340548340548338</v>
      </c>
      <c r="F5" s="335">
        <v>0.85</v>
      </c>
      <c r="G5" s="338">
        <f>Tabela3521[[#This Row],[ICM]]*$C$2</f>
        <v>34</v>
      </c>
      <c r="H5" s="339">
        <v>191.37501499999999</v>
      </c>
      <c r="I5" s="340">
        <v>294.42309999999998</v>
      </c>
      <c r="J5" s="341">
        <v>287.01923076923072</v>
      </c>
      <c r="K5" s="341">
        <v>0.92815131663272288</v>
      </c>
      <c r="L5" s="342">
        <f>Tabela3521[[#This Row],[ICM    ]]*$H$2</f>
        <v>13.922269749490843</v>
      </c>
      <c r="M5" s="340">
        <v>177.52020000000002</v>
      </c>
      <c r="N5" s="340">
        <v>273.108</v>
      </c>
      <c r="O5" s="341">
        <v>267.47572815533982</v>
      </c>
      <c r="P5" s="343">
        <v>0.94107750314726168</v>
      </c>
      <c r="Q5" s="342">
        <f>Tabela3521[[#This Row],[ICM      ]]*$M$2</f>
        <v>14.116162547208924</v>
      </c>
      <c r="R5" s="344">
        <v>0.3023453532688361</v>
      </c>
      <c r="S5" s="345">
        <v>0</v>
      </c>
      <c r="T5" s="344">
        <f t="shared" si="0"/>
        <v>0</v>
      </c>
      <c r="U5" s="346">
        <v>89.486552567237169</v>
      </c>
      <c r="V5" s="346">
        <v>0.9</v>
      </c>
      <c r="W5" s="346">
        <f t="shared" si="1"/>
        <v>13.5</v>
      </c>
      <c r="X5" s="347">
        <f t="shared" si="2"/>
        <v>100</v>
      </c>
      <c r="Y5" s="348">
        <f t="shared" si="3"/>
        <v>75.538432296699767</v>
      </c>
      <c r="Z5" s="348">
        <f t="shared" si="4"/>
        <v>0.75538432296699765</v>
      </c>
      <c r="AB5" s="110" t="s">
        <v>723</v>
      </c>
      <c r="AC5" s="110" t="s">
        <v>724</v>
      </c>
      <c r="AD5" s="349" t="s">
        <v>636</v>
      </c>
    </row>
    <row r="6" spans="1:30" s="349" customFormat="1" ht="18.75">
      <c r="A6" s="334">
        <v>8</v>
      </c>
      <c r="B6" s="370" t="s">
        <v>60</v>
      </c>
      <c r="C6" s="335">
        <v>46.356180000000002</v>
      </c>
      <c r="D6" s="336">
        <v>71.3172</v>
      </c>
      <c r="E6" s="337">
        <v>71.597736685527622</v>
      </c>
      <c r="F6" s="335">
        <v>1</v>
      </c>
      <c r="G6" s="338">
        <f>Tabela3521[[#This Row],[ICM]]*$C$2</f>
        <v>40</v>
      </c>
      <c r="H6" s="339">
        <v>195.68984500000002</v>
      </c>
      <c r="I6" s="340">
        <v>301.06130000000002</v>
      </c>
      <c r="J6" s="341">
        <v>270.45454545454544</v>
      </c>
      <c r="K6" s="341">
        <v>0.70953466908609575</v>
      </c>
      <c r="L6" s="342">
        <f>Tabela3521[[#This Row],[ICM    ]]*$H$2</f>
        <v>10.643020036291436</v>
      </c>
      <c r="M6" s="340">
        <v>186.94689</v>
      </c>
      <c r="N6" s="340">
        <v>287.61059999999998</v>
      </c>
      <c r="O6" s="341">
        <v>278.32699619771859</v>
      </c>
      <c r="P6" s="343">
        <v>0.90777606147954026</v>
      </c>
      <c r="Q6" s="342">
        <f>Tabela3521[[#This Row],[ICM      ]]*$M$2</f>
        <v>13.616640922193104</v>
      </c>
      <c r="R6" s="344">
        <v>0</v>
      </c>
      <c r="S6" s="345">
        <v>0</v>
      </c>
      <c r="T6" s="344">
        <f t="shared" si="0"/>
        <v>0</v>
      </c>
      <c r="U6" s="346">
        <v>91.292875989445903</v>
      </c>
      <c r="V6" s="346">
        <v>1</v>
      </c>
      <c r="W6" s="346">
        <f t="shared" si="1"/>
        <v>15</v>
      </c>
      <c r="X6" s="347">
        <f t="shared" si="2"/>
        <v>100</v>
      </c>
      <c r="Y6" s="348">
        <f t="shared" si="3"/>
        <v>79.259660958484531</v>
      </c>
      <c r="Z6" s="348">
        <f t="shared" si="4"/>
        <v>0.79259660958484535</v>
      </c>
      <c r="AB6" s="350">
        <v>1</v>
      </c>
      <c r="AC6" s="351">
        <f>COUNTIF(Tabela3521[IACM], "=1")</f>
        <v>2</v>
      </c>
      <c r="AD6" s="352">
        <f>AC6/$AC$15</f>
        <v>8.771929824561403E-3</v>
      </c>
    </row>
    <row r="7" spans="1:30" s="349" customFormat="1" ht="18.75">
      <c r="A7" s="334">
        <v>9</v>
      </c>
      <c r="B7" s="370" t="s">
        <v>57</v>
      </c>
      <c r="C7" s="335">
        <v>49.617489999999997</v>
      </c>
      <c r="D7" s="336">
        <v>76.334599999999995</v>
      </c>
      <c r="E7" s="337">
        <v>76.601203113941963</v>
      </c>
      <c r="F7" s="335">
        <v>1</v>
      </c>
      <c r="G7" s="338">
        <f>Tabela3521[[#This Row],[ICM]]*$C$2</f>
        <v>40</v>
      </c>
      <c r="H7" s="339">
        <v>143.82868500000001</v>
      </c>
      <c r="I7" s="340">
        <v>221.2749</v>
      </c>
      <c r="J7" s="341">
        <v>207.55813953488371</v>
      </c>
      <c r="K7" s="341">
        <v>0.82288662570383464</v>
      </c>
      <c r="L7" s="342">
        <f>Tabela3521[[#This Row],[ICM    ]]*$H$2</f>
        <v>12.34329938555752</v>
      </c>
      <c r="M7" s="340">
        <v>142.05854000000002</v>
      </c>
      <c r="N7" s="340">
        <v>218.55160000000001</v>
      </c>
      <c r="O7" s="341">
        <v>218.78787878787881</v>
      </c>
      <c r="P7" s="343">
        <v>1</v>
      </c>
      <c r="Q7" s="342">
        <f>Tabela3521[[#This Row],[ICM      ]]*$M$2</f>
        <v>15</v>
      </c>
      <c r="R7" s="344">
        <v>0</v>
      </c>
      <c r="S7" s="345">
        <v>0</v>
      </c>
      <c r="T7" s="344">
        <f t="shared" si="0"/>
        <v>0</v>
      </c>
      <c r="U7" s="346">
        <v>98.639455782312922</v>
      </c>
      <c r="V7" s="346">
        <v>1</v>
      </c>
      <c r="W7" s="346">
        <f t="shared" si="1"/>
        <v>15</v>
      </c>
      <c r="X7" s="347">
        <f t="shared" si="2"/>
        <v>100</v>
      </c>
      <c r="Y7" s="348">
        <f t="shared" si="3"/>
        <v>82.343299385557515</v>
      </c>
      <c r="Z7" s="348">
        <f t="shared" si="4"/>
        <v>0.82343299385557511</v>
      </c>
      <c r="AB7" s="349" t="s">
        <v>725</v>
      </c>
      <c r="AC7" s="351">
        <f>COUNTIFS(Tabela3521[IACM], "&gt;=0,9", Tabela3521[IACM], "&lt;1")</f>
        <v>54</v>
      </c>
      <c r="AD7" s="352">
        <f t="shared" ref="AD7:AD14" si="5">AC7/$AC$15</f>
        <v>0.23684210526315788</v>
      </c>
    </row>
    <row r="8" spans="1:30" s="349" customFormat="1" ht="18.75">
      <c r="A8" s="334">
        <v>10</v>
      </c>
      <c r="B8" s="370" t="s">
        <v>39</v>
      </c>
      <c r="C8" s="335">
        <v>47.483735000000003</v>
      </c>
      <c r="D8" s="336">
        <v>73.051900000000003</v>
      </c>
      <c r="E8" s="337">
        <v>78.216323492929803</v>
      </c>
      <c r="F8" s="335">
        <v>1</v>
      </c>
      <c r="G8" s="338">
        <f>Tabela3521[[#This Row],[ICM]]*$C$2</f>
        <v>40</v>
      </c>
      <c r="H8" s="339">
        <v>168.23046500000001</v>
      </c>
      <c r="I8" s="340">
        <v>258.81610000000001</v>
      </c>
      <c r="J8" s="341">
        <v>260.14897579143388</v>
      </c>
      <c r="K8" s="341">
        <v>1</v>
      </c>
      <c r="L8" s="342">
        <f>Tabela3521[[#This Row],[ICM    ]]*$H$2</f>
        <v>15</v>
      </c>
      <c r="M8" s="340">
        <v>160.56209000000001</v>
      </c>
      <c r="N8" s="340">
        <v>247.01859999999999</v>
      </c>
      <c r="O8" s="341">
        <v>255.2734375</v>
      </c>
      <c r="P8" s="343">
        <v>1</v>
      </c>
      <c r="Q8" s="342">
        <f>Tabela3521[[#This Row],[ICM      ]]*$M$2</f>
        <v>15</v>
      </c>
      <c r="R8" s="344">
        <v>0.35882900493344505</v>
      </c>
      <c r="S8" s="345">
        <v>0</v>
      </c>
      <c r="T8" s="344">
        <f t="shared" si="0"/>
        <v>0</v>
      </c>
      <c r="U8" s="346">
        <v>85.026041666666657</v>
      </c>
      <c r="V8" s="346">
        <v>0.9</v>
      </c>
      <c r="W8" s="346">
        <f t="shared" si="1"/>
        <v>13.5</v>
      </c>
      <c r="X8" s="347">
        <f t="shared" si="2"/>
        <v>100</v>
      </c>
      <c r="Y8" s="348">
        <f t="shared" si="3"/>
        <v>83.5</v>
      </c>
      <c r="Z8" s="348">
        <f t="shared" si="4"/>
        <v>0.83499999999999996</v>
      </c>
      <c r="AB8" s="349" t="s">
        <v>726</v>
      </c>
      <c r="AC8" s="351">
        <f>COUNTIFS(Tabela3521[IACM], "&gt;=0,8", Tabela3521[IACM], "&lt;0,9")</f>
        <v>104</v>
      </c>
      <c r="AD8" s="352">
        <f t="shared" si="5"/>
        <v>0.45614035087719296</v>
      </c>
    </row>
    <row r="9" spans="1:30" s="349" customFormat="1" ht="18.75">
      <c r="A9" s="334">
        <v>11</v>
      </c>
      <c r="B9" s="370" t="s">
        <v>159</v>
      </c>
      <c r="C9" s="335">
        <v>42.978260000000006</v>
      </c>
      <c r="D9" s="336">
        <v>66.120400000000004</v>
      </c>
      <c r="E9" s="337">
        <v>66.192174976437684</v>
      </c>
      <c r="F9" s="335">
        <v>1</v>
      </c>
      <c r="G9" s="338">
        <f>Tabela3521[[#This Row],[ICM]]*$C$2</f>
        <v>40</v>
      </c>
      <c r="H9" s="339">
        <v>163.63412</v>
      </c>
      <c r="I9" s="340">
        <v>251.7448</v>
      </c>
      <c r="J9" s="341">
        <v>235.5263157894737</v>
      </c>
      <c r="K9" s="341">
        <v>0.81593055222674149</v>
      </c>
      <c r="L9" s="342">
        <f>Tabela3521[[#This Row],[ICM    ]]*$H$2</f>
        <v>12.238958283401121</v>
      </c>
      <c r="M9" s="340">
        <v>160.350255</v>
      </c>
      <c r="N9" s="340">
        <v>246.6927</v>
      </c>
      <c r="O9" s="341">
        <v>245.36423841059599</v>
      </c>
      <c r="P9" s="343">
        <v>0.98461403786510782</v>
      </c>
      <c r="Q9" s="342">
        <f>Tabela3521[[#This Row],[ICM      ]]*$M$2</f>
        <v>14.769210567976618</v>
      </c>
      <c r="R9" s="344">
        <v>0.38199871877001923</v>
      </c>
      <c r="S9" s="345">
        <v>0</v>
      </c>
      <c r="T9" s="344">
        <f t="shared" si="0"/>
        <v>0</v>
      </c>
      <c r="U9" s="346">
        <v>92.560801144492132</v>
      </c>
      <c r="V9" s="346">
        <v>1</v>
      </c>
      <c r="W9" s="346">
        <f t="shared" si="1"/>
        <v>15</v>
      </c>
      <c r="X9" s="347">
        <f t="shared" si="2"/>
        <v>100</v>
      </c>
      <c r="Y9" s="348">
        <f t="shared" si="3"/>
        <v>82.008168851377732</v>
      </c>
      <c r="Z9" s="348">
        <f t="shared" si="4"/>
        <v>0.82008168851377727</v>
      </c>
      <c r="AB9" s="349" t="s">
        <v>727</v>
      </c>
      <c r="AC9" s="351">
        <f>COUNTIFS(Tabela3521[IACM], "&gt;=0,7", Tabela3521[IACM], "&lt;0,8")</f>
        <v>52</v>
      </c>
      <c r="AD9" s="352">
        <f t="shared" si="5"/>
        <v>0.22807017543859648</v>
      </c>
    </row>
    <row r="10" spans="1:30" s="349" customFormat="1" ht="18.75">
      <c r="A10" s="334">
        <v>12</v>
      </c>
      <c r="B10" s="370" t="s">
        <v>66</v>
      </c>
      <c r="C10" s="335">
        <v>48.314500000000002</v>
      </c>
      <c r="D10" s="336">
        <v>74.33</v>
      </c>
      <c r="E10" s="337">
        <v>76.88985681468246</v>
      </c>
      <c r="F10" s="335">
        <v>1</v>
      </c>
      <c r="G10" s="338">
        <f>Tabela3521[[#This Row],[ICM]]*$C$2</f>
        <v>40</v>
      </c>
      <c r="H10" s="339">
        <v>163.45043000000001</v>
      </c>
      <c r="I10" s="340">
        <v>251.4622</v>
      </c>
      <c r="J10" s="341">
        <v>255.50351288056208</v>
      </c>
      <c r="K10" s="341">
        <v>1</v>
      </c>
      <c r="L10" s="342">
        <f>Tabela3521[[#This Row],[ICM    ]]*$H$2</f>
        <v>15</v>
      </c>
      <c r="M10" s="340">
        <v>147.448275</v>
      </c>
      <c r="N10" s="340">
        <v>226.84350000000001</v>
      </c>
      <c r="O10" s="341">
        <v>231.76178660049629</v>
      </c>
      <c r="P10" s="343">
        <v>1</v>
      </c>
      <c r="Q10" s="342">
        <f>Tabela3521[[#This Row],[ICM      ]]*$M$2</f>
        <v>15</v>
      </c>
      <c r="R10" s="344">
        <v>0</v>
      </c>
      <c r="S10" s="345">
        <v>0</v>
      </c>
      <c r="T10" s="344">
        <f t="shared" si="0"/>
        <v>0</v>
      </c>
      <c r="U10" s="346">
        <v>86.770981507823606</v>
      </c>
      <c r="V10" s="346">
        <v>0.9</v>
      </c>
      <c r="W10" s="346">
        <f t="shared" si="1"/>
        <v>13.5</v>
      </c>
      <c r="X10" s="347">
        <f t="shared" si="2"/>
        <v>100</v>
      </c>
      <c r="Y10" s="348">
        <f t="shared" si="3"/>
        <v>83.5</v>
      </c>
      <c r="Z10" s="348">
        <f t="shared" si="4"/>
        <v>0.83499999999999996</v>
      </c>
      <c r="AB10" s="349" t="s">
        <v>728</v>
      </c>
      <c r="AC10" s="351">
        <f>COUNTIFS(Tabela3521[IACM], "&gt;=0,6", Tabela3521[IACM], "&lt;0,7")</f>
        <v>12</v>
      </c>
      <c r="AD10" s="352">
        <f t="shared" si="5"/>
        <v>5.2631578947368418E-2</v>
      </c>
    </row>
    <row r="11" spans="1:30" s="349" customFormat="1" ht="18.75">
      <c r="A11" s="334">
        <v>13</v>
      </c>
      <c r="B11" s="370" t="s">
        <v>100</v>
      </c>
      <c r="C11" s="335">
        <v>42.993340000000003</v>
      </c>
      <c r="D11" s="336">
        <v>66.143600000000006</v>
      </c>
      <c r="E11" s="337">
        <v>72.988379158438406</v>
      </c>
      <c r="F11" s="335">
        <v>1</v>
      </c>
      <c r="G11" s="338">
        <f>Tabela3521[[#This Row],[ICM]]*$C$2</f>
        <v>40</v>
      </c>
      <c r="H11" s="339">
        <v>176.93318500000001</v>
      </c>
      <c r="I11" s="340">
        <v>272.20490000000001</v>
      </c>
      <c r="J11" s="341">
        <v>268.48341232227489</v>
      </c>
      <c r="K11" s="341">
        <v>0.96093816850336822</v>
      </c>
      <c r="L11" s="342">
        <f>Tabela3521[[#This Row],[ICM    ]]*$H$2</f>
        <v>14.414072527550523</v>
      </c>
      <c r="M11" s="340">
        <v>161.51466500000001</v>
      </c>
      <c r="N11" s="340">
        <v>248.48410000000001</v>
      </c>
      <c r="O11" s="341">
        <v>278.01932367149755</v>
      </c>
      <c r="P11" s="343">
        <v>1</v>
      </c>
      <c r="Q11" s="342">
        <f>Tabela3521[[#This Row],[ICM      ]]*$M$2</f>
        <v>15</v>
      </c>
      <c r="R11" s="344">
        <v>0</v>
      </c>
      <c r="S11" s="345">
        <v>0</v>
      </c>
      <c r="T11" s="344">
        <f t="shared" si="0"/>
        <v>0</v>
      </c>
      <c r="U11" s="346">
        <v>83.695652173913047</v>
      </c>
      <c r="V11" s="346">
        <v>0.9</v>
      </c>
      <c r="W11" s="346">
        <f t="shared" si="1"/>
        <v>13.5</v>
      </c>
      <c r="X11" s="347">
        <f t="shared" si="2"/>
        <v>100</v>
      </c>
      <c r="Y11" s="348">
        <f t="shared" si="3"/>
        <v>82.91407252755053</v>
      </c>
      <c r="Z11" s="348">
        <f t="shared" si="4"/>
        <v>0.82914072527550531</v>
      </c>
      <c r="AB11" s="349" t="s">
        <v>729</v>
      </c>
      <c r="AC11" s="351">
        <f>COUNTIFS(Tabela3521[IACM], "&gt;=0,5", Tabela3521[IACM], "&lt;0,6")</f>
        <v>0</v>
      </c>
      <c r="AD11" s="352">
        <f t="shared" si="5"/>
        <v>0</v>
      </c>
    </row>
    <row r="12" spans="1:30" s="349" customFormat="1" ht="18.75">
      <c r="A12" s="334">
        <v>14</v>
      </c>
      <c r="B12" s="370" t="s">
        <v>61</v>
      </c>
      <c r="C12" s="335">
        <v>48.430395000000004</v>
      </c>
      <c r="D12" s="336">
        <v>74.508300000000006</v>
      </c>
      <c r="E12" s="337">
        <v>74.173607932875669</v>
      </c>
      <c r="F12" s="335">
        <v>0.9</v>
      </c>
      <c r="G12" s="338">
        <f>Tabela3521[[#This Row],[ICM]]*$C$2</f>
        <v>36</v>
      </c>
      <c r="H12" s="339">
        <v>182.28593500000002</v>
      </c>
      <c r="I12" s="340">
        <v>280.43990000000002</v>
      </c>
      <c r="J12" s="341">
        <v>283.98576512455514</v>
      </c>
      <c r="K12" s="341">
        <v>1</v>
      </c>
      <c r="L12" s="342">
        <f>Tabela3521[[#This Row],[ICM    ]]*$H$2</f>
        <v>15</v>
      </c>
      <c r="M12" s="340">
        <v>175.49850500000002</v>
      </c>
      <c r="N12" s="340">
        <v>269.99770000000001</v>
      </c>
      <c r="O12" s="341">
        <v>288.43283582089549</v>
      </c>
      <c r="P12" s="343">
        <v>1</v>
      </c>
      <c r="Q12" s="342">
        <f>Tabela3521[[#This Row],[ICM      ]]*$M$2</f>
        <v>15</v>
      </c>
      <c r="R12" s="344">
        <v>0</v>
      </c>
      <c r="S12" s="345">
        <v>0</v>
      </c>
      <c r="T12" s="344">
        <f t="shared" si="0"/>
        <v>0</v>
      </c>
      <c r="U12" s="346">
        <v>89.888682745825605</v>
      </c>
      <c r="V12" s="346">
        <v>0.9</v>
      </c>
      <c r="W12" s="346">
        <f t="shared" si="1"/>
        <v>13.5</v>
      </c>
      <c r="X12" s="347">
        <f t="shared" si="2"/>
        <v>100</v>
      </c>
      <c r="Y12" s="348">
        <f t="shared" si="3"/>
        <v>79.5</v>
      </c>
      <c r="Z12" s="348">
        <f t="shared" si="4"/>
        <v>0.79500000000000004</v>
      </c>
      <c r="AB12" s="349" t="s">
        <v>730</v>
      </c>
      <c r="AC12" s="351">
        <f>COUNTIFS(Tabela3521[IACM], "&gt;=0,4", Tabela3521[IACM], "&lt;0,5")</f>
        <v>0</v>
      </c>
      <c r="AD12" s="352">
        <f t="shared" si="5"/>
        <v>0</v>
      </c>
    </row>
    <row r="13" spans="1:30" s="349" customFormat="1" ht="18.75">
      <c r="A13" s="334">
        <v>15</v>
      </c>
      <c r="B13" s="370" t="s">
        <v>38</v>
      </c>
      <c r="C13" s="335">
        <v>49.037624999999998</v>
      </c>
      <c r="D13" s="336">
        <v>75.442499999999995</v>
      </c>
      <c r="E13" s="337">
        <v>75.87810528391168</v>
      </c>
      <c r="F13" s="335">
        <v>1</v>
      </c>
      <c r="G13" s="338">
        <f>Tabela3521[[#This Row],[ICM]]*$C$2</f>
        <v>40</v>
      </c>
      <c r="H13" s="339">
        <v>174.92299500000001</v>
      </c>
      <c r="I13" s="340">
        <v>269.1123</v>
      </c>
      <c r="J13" s="341">
        <v>280.67484662576686</v>
      </c>
      <c r="K13" s="341">
        <v>1</v>
      </c>
      <c r="L13" s="342">
        <f>Tabela3521[[#This Row],[ICM    ]]*$H$2</f>
        <v>15</v>
      </c>
      <c r="M13" s="340">
        <v>175.88090000000003</v>
      </c>
      <c r="N13" s="340">
        <v>270.58600000000001</v>
      </c>
      <c r="O13" s="341">
        <v>284.52012383900933</v>
      </c>
      <c r="P13" s="343">
        <v>1</v>
      </c>
      <c r="Q13" s="342">
        <f>Tabela3521[[#This Row],[ICM      ]]*$M$2</f>
        <v>15</v>
      </c>
      <c r="R13" s="344">
        <v>0</v>
      </c>
      <c r="S13" s="345">
        <v>0</v>
      </c>
      <c r="T13" s="344">
        <f t="shared" si="0"/>
        <v>0</v>
      </c>
      <c r="U13" s="346">
        <v>84.516129032258064</v>
      </c>
      <c r="V13" s="346">
        <v>0.9</v>
      </c>
      <c r="W13" s="346">
        <f t="shared" si="1"/>
        <v>13.5</v>
      </c>
      <c r="X13" s="347">
        <f t="shared" si="2"/>
        <v>100</v>
      </c>
      <c r="Y13" s="348">
        <f t="shared" si="3"/>
        <v>83.5</v>
      </c>
      <c r="Z13" s="348">
        <f t="shared" si="4"/>
        <v>0.83499999999999996</v>
      </c>
      <c r="AB13" s="349" t="s">
        <v>731</v>
      </c>
      <c r="AC13" s="351">
        <f>COUNTIFS(Tabela3521[IACM], "&gt;=0", Tabela3521[IACM], "&lt;0,4")</f>
        <v>0</v>
      </c>
      <c r="AD13" s="352">
        <f t="shared" si="5"/>
        <v>0</v>
      </c>
    </row>
    <row r="14" spans="1:30" s="349" customFormat="1" ht="18.75">
      <c r="A14" s="334">
        <v>16</v>
      </c>
      <c r="B14" s="370" t="s">
        <v>188</v>
      </c>
      <c r="C14" s="335">
        <v>40.331004999999998</v>
      </c>
      <c r="D14" s="336">
        <v>62.047699999999999</v>
      </c>
      <c r="E14" s="337">
        <v>65.915998087242983</v>
      </c>
      <c r="F14" s="335">
        <v>1</v>
      </c>
      <c r="G14" s="338">
        <f>Tabela3521[[#This Row],[ICM]]*$C$2</f>
        <v>40</v>
      </c>
      <c r="H14" s="339">
        <v>162.33867000000001</v>
      </c>
      <c r="I14" s="340">
        <v>249.7518</v>
      </c>
      <c r="J14" s="341">
        <v>242.02898550724638</v>
      </c>
      <c r="K14" s="341">
        <v>0.91165155059939362</v>
      </c>
      <c r="L14" s="342">
        <f>Tabela3521[[#This Row],[ICM    ]]*$H$2</f>
        <v>13.674773258990903</v>
      </c>
      <c r="M14" s="340">
        <v>155.81189000000001</v>
      </c>
      <c r="N14" s="340">
        <v>239.7106</v>
      </c>
      <c r="O14" s="341">
        <v>233.83458646616538</v>
      </c>
      <c r="P14" s="343">
        <v>0.92996300498738749</v>
      </c>
      <c r="Q14" s="342">
        <f>Tabela3521[[#This Row],[ICM      ]]*$M$2</f>
        <v>13.949445074810813</v>
      </c>
      <c r="R14" s="344">
        <v>0.42229299363057327</v>
      </c>
      <c r="S14" s="345">
        <v>0.5</v>
      </c>
      <c r="T14" s="344">
        <f t="shared" si="0"/>
        <v>7.5</v>
      </c>
      <c r="U14" s="346">
        <v>96.266044340723454</v>
      </c>
      <c r="V14" s="346">
        <v>1</v>
      </c>
      <c r="W14" s="346">
        <f t="shared" si="1"/>
        <v>15</v>
      </c>
      <c r="X14" s="347">
        <f t="shared" si="2"/>
        <v>100</v>
      </c>
      <c r="Y14" s="348">
        <f t="shared" si="3"/>
        <v>90.124218333801721</v>
      </c>
      <c r="Z14" s="348">
        <f t="shared" si="4"/>
        <v>0.9012421833380172</v>
      </c>
      <c r="AB14" s="349" t="s">
        <v>732</v>
      </c>
      <c r="AC14" s="351">
        <f>COUNTIFS(Tabela3521[IACM], "")</f>
        <v>4</v>
      </c>
      <c r="AD14" s="352">
        <f t="shared" si="5"/>
        <v>1.7543859649122806E-2</v>
      </c>
    </row>
    <row r="15" spans="1:30" s="349" customFormat="1" ht="18.75">
      <c r="A15" s="334">
        <v>17</v>
      </c>
      <c r="B15" s="370" t="s">
        <v>69</v>
      </c>
      <c r="C15" s="335">
        <v>47.403979999999997</v>
      </c>
      <c r="D15" s="336">
        <v>72.929199999999994</v>
      </c>
      <c r="E15" s="337">
        <v>73.642653642653642</v>
      </c>
      <c r="F15" s="335">
        <v>1</v>
      </c>
      <c r="G15" s="338">
        <f>Tabela3521[[#This Row],[ICM]]*$C$2</f>
        <v>40</v>
      </c>
      <c r="H15" s="339">
        <v>180.00547500000002</v>
      </c>
      <c r="I15" s="340">
        <v>276.93150000000003</v>
      </c>
      <c r="J15" s="341">
        <v>266.38655462184869</v>
      </c>
      <c r="K15" s="341">
        <v>0.89120625365425499</v>
      </c>
      <c r="L15" s="342">
        <f>Tabela3521[[#This Row],[ICM    ]]*$H$2</f>
        <v>13.368093804813824</v>
      </c>
      <c r="M15" s="340">
        <v>173.27504999999999</v>
      </c>
      <c r="N15" s="340">
        <v>266.577</v>
      </c>
      <c r="O15" s="341">
        <v>259.82905982905982</v>
      </c>
      <c r="P15" s="343">
        <v>0.927676322188977</v>
      </c>
      <c r="Q15" s="342">
        <f>Tabela3521[[#This Row],[ICM      ]]*$M$2</f>
        <v>13.915144832834654</v>
      </c>
      <c r="R15" s="344">
        <v>0</v>
      </c>
      <c r="S15" s="345">
        <v>0</v>
      </c>
      <c r="T15" s="344">
        <f t="shared" si="0"/>
        <v>0</v>
      </c>
      <c r="U15" s="346">
        <v>93.445121951219505</v>
      </c>
      <c r="V15" s="346">
        <v>1</v>
      </c>
      <c r="W15" s="346">
        <f t="shared" si="1"/>
        <v>15</v>
      </c>
      <c r="X15" s="347">
        <f t="shared" si="2"/>
        <v>100</v>
      </c>
      <c r="Y15" s="348">
        <f t="shared" si="3"/>
        <v>82.283238637648481</v>
      </c>
      <c r="Z15" s="348">
        <f t="shared" si="4"/>
        <v>0.82283238637648481</v>
      </c>
      <c r="AB15" s="349" t="s">
        <v>733</v>
      </c>
      <c r="AC15" s="351">
        <f>SUM(AC6:AC14)</f>
        <v>228</v>
      </c>
      <c r="AD15" s="353">
        <f>SUM(AD6:AD14)</f>
        <v>1</v>
      </c>
    </row>
    <row r="16" spans="1:30" s="349" customFormat="1" ht="18.75">
      <c r="A16" s="334">
        <v>18</v>
      </c>
      <c r="B16" s="370" t="s">
        <v>43</v>
      </c>
      <c r="C16" s="335">
        <v>41.793505000000003</v>
      </c>
      <c r="D16" s="336">
        <v>64.297700000000006</v>
      </c>
      <c r="E16" s="337">
        <v>64.87914713721166</v>
      </c>
      <c r="F16" s="335">
        <v>1</v>
      </c>
      <c r="G16" s="338">
        <f>Tabela3521[[#This Row],[ICM]]*$C$2</f>
        <v>40</v>
      </c>
      <c r="H16" s="339">
        <v>217.64515500000002</v>
      </c>
      <c r="I16" s="340">
        <v>334.83870000000002</v>
      </c>
      <c r="J16" s="341">
        <v>295.30201342281873</v>
      </c>
      <c r="K16" s="341">
        <v>0.66263767703945398</v>
      </c>
      <c r="L16" s="342">
        <f>Tabela3521[[#This Row],[ICM    ]]*$H$2</f>
        <v>9.9395651555918096</v>
      </c>
      <c r="M16" s="340">
        <v>205.48385000000002</v>
      </c>
      <c r="N16" s="340">
        <v>316.12900000000002</v>
      </c>
      <c r="O16" s="341">
        <v>340.78947368421058</v>
      </c>
      <c r="P16" s="343">
        <v>1</v>
      </c>
      <c r="Q16" s="342">
        <f>Tabela3521[[#This Row],[ICM      ]]*$M$2</f>
        <v>15</v>
      </c>
      <c r="R16" s="344">
        <v>0.64074178268109272</v>
      </c>
      <c r="S16" s="345">
        <v>0.7</v>
      </c>
      <c r="T16" s="344">
        <f t="shared" si="0"/>
        <v>10.5</v>
      </c>
      <c r="U16" s="346">
        <v>85.52278820375335</v>
      </c>
      <c r="V16" s="346">
        <v>0.9</v>
      </c>
      <c r="W16" s="346">
        <f t="shared" si="1"/>
        <v>13.5</v>
      </c>
      <c r="X16" s="347">
        <f t="shared" si="2"/>
        <v>100</v>
      </c>
      <c r="Y16" s="348">
        <f t="shared" si="3"/>
        <v>88.939565155591808</v>
      </c>
      <c r="Z16" s="348">
        <f t="shared" si="4"/>
        <v>0.88939565155591804</v>
      </c>
      <c r="AB16" s="354"/>
      <c r="AC16" s="351"/>
    </row>
    <row r="17" spans="1:33" s="349" customFormat="1" ht="18.75">
      <c r="A17" s="334">
        <v>19</v>
      </c>
      <c r="B17" s="370" t="s">
        <v>149</v>
      </c>
      <c r="C17" s="335">
        <v>44.561399999999999</v>
      </c>
      <c r="D17" s="336">
        <v>68.555999999999997</v>
      </c>
      <c r="E17" s="337">
        <v>67.416666666666657</v>
      </c>
      <c r="F17" s="335">
        <v>1</v>
      </c>
      <c r="G17" s="338">
        <f>Tabela3521[[#This Row],[ICM]]*$C$2</f>
        <v>40</v>
      </c>
      <c r="H17" s="339">
        <v>138.240375</v>
      </c>
      <c r="I17" s="340">
        <v>212.67750000000001</v>
      </c>
      <c r="J17" s="341">
        <v>204.32098765432099</v>
      </c>
      <c r="K17" s="341">
        <v>0.8877373038563886</v>
      </c>
      <c r="L17" s="342">
        <f>Tabela3521[[#This Row],[ICM    ]]*$H$2</f>
        <v>13.316059557845829</v>
      </c>
      <c r="M17" s="340">
        <v>111.27928500000002</v>
      </c>
      <c r="N17" s="340">
        <v>171.19890000000001</v>
      </c>
      <c r="O17" s="341">
        <v>203.82165605095543</v>
      </c>
      <c r="P17" s="343">
        <v>1</v>
      </c>
      <c r="Q17" s="342">
        <f>Tabela3521[[#This Row],[ICM      ]]*$M$2</f>
        <v>15</v>
      </c>
      <c r="R17" s="344">
        <v>0.46192283364958886</v>
      </c>
      <c r="S17" s="345">
        <v>0.5</v>
      </c>
      <c r="T17" s="344">
        <f t="shared" si="0"/>
        <v>7.5</v>
      </c>
      <c r="U17" s="346">
        <v>87.786259541984734</v>
      </c>
      <c r="V17" s="346">
        <v>0.9</v>
      </c>
      <c r="W17" s="346">
        <f t="shared" si="1"/>
        <v>13.5</v>
      </c>
      <c r="X17" s="347">
        <f t="shared" si="2"/>
        <v>100</v>
      </c>
      <c r="Y17" s="348">
        <f t="shared" si="3"/>
        <v>89.316059557845833</v>
      </c>
      <c r="Z17" s="348">
        <f t="shared" si="4"/>
        <v>0.89316059557845828</v>
      </c>
      <c r="AB17" s="355"/>
      <c r="AC17" s="110"/>
    </row>
    <row r="18" spans="1:33" s="349" customFormat="1" ht="18.75">
      <c r="A18" s="334">
        <v>23</v>
      </c>
      <c r="B18" s="370" t="s">
        <v>79</v>
      </c>
      <c r="C18" s="335">
        <v>46.571199999999997</v>
      </c>
      <c r="D18" s="336">
        <v>71.647999999999996</v>
      </c>
      <c r="E18" s="337">
        <v>74.453869393446425</v>
      </c>
      <c r="F18" s="335">
        <v>1</v>
      </c>
      <c r="G18" s="338">
        <f>Tabela3521[[#This Row],[ICM]]*$C$2</f>
        <v>40</v>
      </c>
      <c r="H18" s="339">
        <v>169.92423500000001</v>
      </c>
      <c r="I18" s="340">
        <v>261.42189999999999</v>
      </c>
      <c r="J18" s="341">
        <v>236.66666666666669</v>
      </c>
      <c r="K18" s="341">
        <v>0.72944409747141292</v>
      </c>
      <c r="L18" s="342">
        <f>Tabela3521[[#This Row],[ICM    ]]*$H$2</f>
        <v>10.941661462071194</v>
      </c>
      <c r="M18" s="340">
        <v>146.07722999999999</v>
      </c>
      <c r="N18" s="340">
        <v>224.73419999999999</v>
      </c>
      <c r="O18" s="341">
        <v>235.95505617977531</v>
      </c>
      <c r="P18" s="343">
        <v>1</v>
      </c>
      <c r="Q18" s="342">
        <f>Tabela3521[[#This Row],[ICM      ]]*$M$2</f>
        <v>15</v>
      </c>
      <c r="R18" s="344">
        <v>0.5</v>
      </c>
      <c r="S18" s="345">
        <v>0.6</v>
      </c>
      <c r="T18" s="344">
        <f t="shared" si="0"/>
        <v>9</v>
      </c>
      <c r="U18" s="346">
        <v>84.375</v>
      </c>
      <c r="V18" s="346">
        <v>0.9</v>
      </c>
      <c r="W18" s="346">
        <f t="shared" si="1"/>
        <v>13.5</v>
      </c>
      <c r="X18" s="347">
        <f t="shared" si="2"/>
        <v>100</v>
      </c>
      <c r="Y18" s="348">
        <f t="shared" si="3"/>
        <v>88.441661462071195</v>
      </c>
      <c r="Z18" s="348">
        <f t="shared" si="4"/>
        <v>0.88441661462071197</v>
      </c>
    </row>
    <row r="19" spans="1:33" s="349" customFormat="1" ht="18.75">
      <c r="A19" s="334">
        <v>24</v>
      </c>
      <c r="B19" s="370" t="s">
        <v>96</v>
      </c>
      <c r="C19" s="335">
        <v>47.523319999999998</v>
      </c>
      <c r="D19" s="336">
        <v>73.112799999999993</v>
      </c>
      <c r="E19" s="337">
        <v>66.961348684210535</v>
      </c>
      <c r="F19" s="335">
        <v>1</v>
      </c>
      <c r="G19" s="338">
        <f>Tabela3521[[#This Row],[ICM]]*$C$2</f>
        <v>40</v>
      </c>
      <c r="H19" s="339">
        <v>172.15256500000001</v>
      </c>
      <c r="I19" s="340">
        <v>264.8501</v>
      </c>
      <c r="J19" s="341">
        <v>239.31034482758622</v>
      </c>
      <c r="K19" s="341">
        <v>0.7244829091473276</v>
      </c>
      <c r="L19" s="342">
        <f>Tabela3521[[#This Row],[ICM    ]]*$H$2</f>
        <v>10.867243637209913</v>
      </c>
      <c r="M19" s="340">
        <v>159.43538000000001</v>
      </c>
      <c r="N19" s="340">
        <v>245.2852</v>
      </c>
      <c r="O19" s="341">
        <v>246.80851063829789</v>
      </c>
      <c r="P19" s="343">
        <v>1</v>
      </c>
      <c r="Q19" s="342">
        <f>Tabela3521[[#This Row],[ICM      ]]*$M$2</f>
        <v>15</v>
      </c>
      <c r="R19" s="344">
        <v>0.5</v>
      </c>
      <c r="S19" s="345">
        <v>0.6</v>
      </c>
      <c r="T19" s="344">
        <f t="shared" si="0"/>
        <v>9</v>
      </c>
      <c r="U19" s="346">
        <v>85.66493955094991</v>
      </c>
      <c r="V19" s="346">
        <v>0.9</v>
      </c>
      <c r="W19" s="346">
        <f t="shared" si="1"/>
        <v>13.5</v>
      </c>
      <c r="X19" s="347">
        <f t="shared" si="2"/>
        <v>100</v>
      </c>
      <c r="Y19" s="348">
        <f t="shared" si="3"/>
        <v>88.36724363720991</v>
      </c>
      <c r="Z19" s="348">
        <f t="shared" si="4"/>
        <v>0.88367243637209913</v>
      </c>
      <c r="AB19" s="356"/>
      <c r="AC19" s="357"/>
      <c r="AD19" s="357"/>
      <c r="AE19" s="358"/>
      <c r="AF19" s="357"/>
      <c r="AG19" s="357"/>
    </row>
    <row r="20" spans="1:33" s="349" customFormat="1" ht="18.75">
      <c r="A20" s="334">
        <v>25</v>
      </c>
      <c r="B20" s="370" t="s">
        <v>29</v>
      </c>
      <c r="C20" s="335">
        <v>49.904400000000003</v>
      </c>
      <c r="D20" s="336">
        <v>76.775999999999996</v>
      </c>
      <c r="E20" s="337">
        <v>74.192442005487649</v>
      </c>
      <c r="F20" s="335">
        <v>0.9</v>
      </c>
      <c r="G20" s="338">
        <f>Tabela3521[[#This Row],[ICM]]*$C$2</f>
        <v>36</v>
      </c>
      <c r="H20" s="339">
        <v>132.87742</v>
      </c>
      <c r="I20" s="340">
        <v>204.42679999999999</v>
      </c>
      <c r="J20" s="341">
        <v>196.7441860465116</v>
      </c>
      <c r="K20" s="341">
        <v>0.89262501011904805</v>
      </c>
      <c r="L20" s="342">
        <f>Tabela3521[[#This Row],[ICM    ]]*$H$2</f>
        <v>13.389375151785721</v>
      </c>
      <c r="M20" s="340">
        <v>129.02486999999999</v>
      </c>
      <c r="N20" s="340">
        <v>198.49979999999999</v>
      </c>
      <c r="O20" s="341">
        <v>173.8095238095238</v>
      </c>
      <c r="P20" s="343">
        <v>0.64461603357533148</v>
      </c>
      <c r="Q20" s="342">
        <f>Tabela3521[[#This Row],[ICM      ]]*$M$2</f>
        <v>9.6692405036299718</v>
      </c>
      <c r="R20" s="344">
        <v>1</v>
      </c>
      <c r="S20" s="345">
        <v>1</v>
      </c>
      <c r="T20" s="344">
        <f t="shared" si="0"/>
        <v>15</v>
      </c>
      <c r="U20" s="346">
        <v>98.233995584988961</v>
      </c>
      <c r="V20" s="346">
        <v>1</v>
      </c>
      <c r="W20" s="346">
        <f t="shared" si="1"/>
        <v>15</v>
      </c>
      <c r="X20" s="347">
        <f t="shared" si="2"/>
        <v>100</v>
      </c>
      <c r="Y20" s="348">
        <f t="shared" si="3"/>
        <v>89.058615655415693</v>
      </c>
      <c r="Z20" s="348">
        <f t="shared" si="4"/>
        <v>0.89058615655415696</v>
      </c>
      <c r="AB20" s="356"/>
      <c r="AC20" s="359"/>
      <c r="AD20" s="359"/>
      <c r="AE20" s="359"/>
      <c r="AF20" s="359"/>
      <c r="AG20" s="359"/>
    </row>
    <row r="21" spans="1:33" s="349" customFormat="1" ht="18.75">
      <c r="A21" s="334">
        <v>26</v>
      </c>
      <c r="B21" s="370" t="s">
        <v>55</v>
      </c>
      <c r="C21" s="335">
        <v>52.738725000000002</v>
      </c>
      <c r="D21" s="336">
        <v>81.136499999999998</v>
      </c>
      <c r="E21" s="337">
        <v>70.337078651685388</v>
      </c>
      <c r="F21" s="335">
        <v>0.7</v>
      </c>
      <c r="G21" s="338">
        <f>Tabela3521[[#This Row],[ICM]]*$C$2</f>
        <v>28</v>
      </c>
      <c r="H21" s="339">
        <v>163.07447000000002</v>
      </c>
      <c r="I21" s="340">
        <v>250.88380000000001</v>
      </c>
      <c r="J21" s="341">
        <v>259.69387755102042</v>
      </c>
      <c r="K21" s="341">
        <v>1</v>
      </c>
      <c r="L21" s="342">
        <f>Tabela3521[[#This Row],[ICM    ]]*$H$2</f>
        <v>15</v>
      </c>
      <c r="M21" s="340">
        <v>158.60962000000001</v>
      </c>
      <c r="N21" s="340">
        <v>244.01480000000001</v>
      </c>
      <c r="O21" s="341">
        <v>258.16326530612241</v>
      </c>
      <c r="P21" s="343">
        <v>1</v>
      </c>
      <c r="Q21" s="342">
        <f>Tabela3521[[#This Row],[ICM      ]]*$M$2</f>
        <v>15</v>
      </c>
      <c r="R21" s="344">
        <v>0.3498054474708171</v>
      </c>
      <c r="S21" s="345">
        <v>0</v>
      </c>
      <c r="T21" s="344">
        <f t="shared" si="0"/>
        <v>0</v>
      </c>
      <c r="U21" s="346">
        <v>78.99628252788105</v>
      </c>
      <c r="V21" s="346">
        <v>0.8</v>
      </c>
      <c r="W21" s="346">
        <f t="shared" si="1"/>
        <v>12</v>
      </c>
      <c r="X21" s="347">
        <f t="shared" si="2"/>
        <v>100</v>
      </c>
      <c r="Y21" s="348">
        <f t="shared" si="3"/>
        <v>70</v>
      </c>
      <c r="Z21" s="348">
        <f t="shared" si="4"/>
        <v>0.7</v>
      </c>
      <c r="AB21" s="360"/>
      <c r="AC21" s="361"/>
      <c r="AD21" s="362"/>
      <c r="AE21" s="363"/>
      <c r="AF21" s="363"/>
      <c r="AG21" s="364"/>
    </row>
    <row r="22" spans="1:33" s="349" customFormat="1" ht="18.75">
      <c r="A22" s="334">
        <v>27</v>
      </c>
      <c r="B22" s="370" t="s">
        <v>155</v>
      </c>
      <c r="C22" s="335">
        <v>40.181829999999998</v>
      </c>
      <c r="D22" s="336">
        <v>61.818199999999997</v>
      </c>
      <c r="E22" s="337">
        <v>62.20663265306122</v>
      </c>
      <c r="F22" s="335">
        <v>1</v>
      </c>
      <c r="G22" s="338">
        <f>Tabela3521[[#This Row],[ICM]]*$C$2</f>
        <v>40</v>
      </c>
      <c r="H22" s="339">
        <v>153.888475</v>
      </c>
      <c r="I22" s="340">
        <v>236.75149999999999</v>
      </c>
      <c r="J22" s="341">
        <v>201.71428571428572</v>
      </c>
      <c r="K22" s="341">
        <v>0.57716708645726755</v>
      </c>
      <c r="L22" s="342">
        <f>Tabela3521[[#This Row],[ICM    ]]*$H$2</f>
        <v>8.6575062968590135</v>
      </c>
      <c r="M22" s="340">
        <v>141.02529999999999</v>
      </c>
      <c r="N22" s="340">
        <v>216.96199999999999</v>
      </c>
      <c r="O22" s="341">
        <v>221.30177514792899</v>
      </c>
      <c r="P22" s="343">
        <v>1</v>
      </c>
      <c r="Q22" s="342">
        <f>Tabela3521[[#This Row],[ICM      ]]*$M$2</f>
        <v>15</v>
      </c>
      <c r="R22" s="344">
        <v>0.45034619188921859</v>
      </c>
      <c r="S22" s="345">
        <v>0.5</v>
      </c>
      <c r="T22" s="344">
        <f t="shared" si="0"/>
        <v>7.5</v>
      </c>
      <c r="U22" s="346">
        <v>97.216699801192846</v>
      </c>
      <c r="V22" s="346">
        <v>1</v>
      </c>
      <c r="W22" s="346">
        <f t="shared" si="1"/>
        <v>15</v>
      </c>
      <c r="X22" s="347">
        <f t="shared" si="2"/>
        <v>100</v>
      </c>
      <c r="Y22" s="348">
        <f t="shared" si="3"/>
        <v>86.157506296859012</v>
      </c>
      <c r="Z22" s="348">
        <f t="shared" si="4"/>
        <v>0.8615750629685901</v>
      </c>
      <c r="AB22" s="360"/>
      <c r="AC22" s="361"/>
      <c r="AD22" s="362"/>
      <c r="AE22" s="363"/>
      <c r="AF22" s="363"/>
      <c r="AG22" s="364"/>
    </row>
    <row r="23" spans="1:33" s="349" customFormat="1" ht="18.75">
      <c r="A23" s="334">
        <v>28</v>
      </c>
      <c r="B23" s="370" t="s">
        <v>27</v>
      </c>
      <c r="C23" s="335">
        <v>39.590915000000003</v>
      </c>
      <c r="D23" s="336">
        <v>60.909100000000002</v>
      </c>
      <c r="E23" s="337">
        <v>64.313186813186817</v>
      </c>
      <c r="F23" s="335">
        <v>1</v>
      </c>
      <c r="G23" s="338">
        <f>Tabela3521[[#This Row],[ICM]]*$C$2</f>
        <v>40</v>
      </c>
      <c r="H23" s="339">
        <v>90.048985000000002</v>
      </c>
      <c r="I23" s="340">
        <v>138.5369</v>
      </c>
      <c r="J23" s="341">
        <v>136.36363636363637</v>
      </c>
      <c r="K23" s="341">
        <v>0.95517927227096422</v>
      </c>
      <c r="L23" s="342">
        <f>Tabela3521[[#This Row],[ICM    ]]*$H$2</f>
        <v>14.327689084064463</v>
      </c>
      <c r="M23" s="340">
        <v>88.779600000000002</v>
      </c>
      <c r="N23" s="340">
        <v>136.584</v>
      </c>
      <c r="O23" s="341">
        <v>158.53658536585368</v>
      </c>
      <c r="P23" s="343">
        <v>1</v>
      </c>
      <c r="Q23" s="342">
        <f>Tabela3521[[#This Row],[ICM      ]]*$M$2</f>
        <v>15</v>
      </c>
      <c r="R23" s="344">
        <v>0.5</v>
      </c>
      <c r="S23" s="345">
        <v>0.6</v>
      </c>
      <c r="T23" s="344">
        <f t="shared" si="0"/>
        <v>9</v>
      </c>
      <c r="U23" s="346">
        <v>86.425339366515843</v>
      </c>
      <c r="V23" s="346">
        <v>0.9</v>
      </c>
      <c r="W23" s="346">
        <f t="shared" si="1"/>
        <v>13.5</v>
      </c>
      <c r="X23" s="347">
        <f t="shared" si="2"/>
        <v>100</v>
      </c>
      <c r="Y23" s="348">
        <f t="shared" si="3"/>
        <v>91.82768908406446</v>
      </c>
      <c r="Z23" s="348">
        <f t="shared" si="4"/>
        <v>0.91827689084064457</v>
      </c>
      <c r="AB23" s="360"/>
      <c r="AC23" s="361"/>
      <c r="AD23" s="362"/>
      <c r="AE23" s="363"/>
      <c r="AF23" s="363"/>
      <c r="AG23" s="364"/>
    </row>
    <row r="24" spans="1:33" s="349" customFormat="1" ht="18.75">
      <c r="A24" s="334">
        <v>29</v>
      </c>
      <c r="B24" s="370" t="s">
        <v>182</v>
      </c>
      <c r="C24" s="335">
        <v>43.720754999999997</v>
      </c>
      <c r="D24" s="336">
        <v>67.262699999999995</v>
      </c>
      <c r="E24" s="337">
        <v>69.880534995455136</v>
      </c>
      <c r="F24" s="335">
        <v>1</v>
      </c>
      <c r="G24" s="338">
        <f>Tabela3521[[#This Row],[ICM]]*$C$2</f>
        <v>40</v>
      </c>
      <c r="H24" s="339">
        <v>174.06304500000002</v>
      </c>
      <c r="I24" s="340">
        <v>267.78930000000003</v>
      </c>
      <c r="J24" s="341">
        <v>240.42553191489364</v>
      </c>
      <c r="K24" s="341">
        <v>0.70804586094785948</v>
      </c>
      <c r="L24" s="342">
        <f>Tabela3521[[#This Row],[ICM    ]]*$H$2</f>
        <v>10.620687914217893</v>
      </c>
      <c r="M24" s="340">
        <v>161.90856500000001</v>
      </c>
      <c r="N24" s="340">
        <v>249.09010000000001</v>
      </c>
      <c r="O24" s="341">
        <v>240.57971014492756</v>
      </c>
      <c r="P24" s="343">
        <v>0.90238311524255166</v>
      </c>
      <c r="Q24" s="342">
        <f>Tabela3521[[#This Row],[ICM      ]]*$M$2</f>
        <v>13.535746728638275</v>
      </c>
      <c r="R24" s="344">
        <v>0.30422275006598049</v>
      </c>
      <c r="S24" s="345">
        <v>0</v>
      </c>
      <c r="T24" s="344">
        <f t="shared" si="0"/>
        <v>0</v>
      </c>
      <c r="U24" s="346">
        <v>91.592920353982294</v>
      </c>
      <c r="V24" s="346">
        <v>1</v>
      </c>
      <c r="W24" s="346">
        <f t="shared" si="1"/>
        <v>15</v>
      </c>
      <c r="X24" s="347">
        <f t="shared" si="2"/>
        <v>100</v>
      </c>
      <c r="Y24" s="348">
        <f t="shared" si="3"/>
        <v>79.156434642856169</v>
      </c>
      <c r="Z24" s="348">
        <f t="shared" si="4"/>
        <v>0.79156434642856166</v>
      </c>
      <c r="AB24" s="360"/>
      <c r="AC24" s="361"/>
      <c r="AD24" s="362"/>
      <c r="AE24" s="363"/>
      <c r="AF24" s="363"/>
      <c r="AG24" s="364"/>
    </row>
    <row r="25" spans="1:33" s="349" customFormat="1" ht="18.75">
      <c r="A25" s="334">
        <v>30</v>
      </c>
      <c r="B25" s="370" t="s">
        <v>163</v>
      </c>
      <c r="C25" s="335">
        <v>46.539479999999998</v>
      </c>
      <c r="D25" s="336">
        <v>71.599199999999996</v>
      </c>
      <c r="E25" s="337">
        <v>66.511127063890882</v>
      </c>
      <c r="F25" s="335">
        <v>1</v>
      </c>
      <c r="G25" s="338">
        <f>Tabela3521[[#This Row],[ICM]]*$C$2</f>
        <v>40</v>
      </c>
      <c r="H25" s="339">
        <v>153.57381000000001</v>
      </c>
      <c r="I25" s="340">
        <v>236.26740000000001</v>
      </c>
      <c r="J25" s="341">
        <v>243.41463414634146</v>
      </c>
      <c r="K25" s="341">
        <v>1</v>
      </c>
      <c r="L25" s="342">
        <f>Tabela3521[[#This Row],[ICM    ]]*$H$2</f>
        <v>15</v>
      </c>
      <c r="M25" s="340">
        <v>153.24244000000002</v>
      </c>
      <c r="N25" s="340">
        <v>235.7576</v>
      </c>
      <c r="O25" s="341">
        <v>227.22772277227722</v>
      </c>
      <c r="P25" s="343">
        <v>0.89662654441047218</v>
      </c>
      <c r="Q25" s="342">
        <f>Tabela3521[[#This Row],[ICM      ]]*$M$2</f>
        <v>13.449398166157083</v>
      </c>
      <c r="R25" s="344">
        <v>0</v>
      </c>
      <c r="S25" s="345">
        <v>0</v>
      </c>
      <c r="T25" s="344">
        <f t="shared" si="0"/>
        <v>0</v>
      </c>
      <c r="U25" s="346">
        <v>100</v>
      </c>
      <c r="V25" s="346">
        <v>1</v>
      </c>
      <c r="W25" s="346">
        <f t="shared" si="1"/>
        <v>15</v>
      </c>
      <c r="X25" s="347">
        <f t="shared" si="2"/>
        <v>100</v>
      </c>
      <c r="Y25" s="348">
        <f t="shared" si="3"/>
        <v>83.449398166157081</v>
      </c>
      <c r="Z25" s="348">
        <f t="shared" si="4"/>
        <v>0.83449398166157085</v>
      </c>
      <c r="AB25" s="360"/>
      <c r="AC25" s="361"/>
      <c r="AD25" s="362"/>
      <c r="AE25" s="363"/>
      <c r="AF25" s="363"/>
      <c r="AG25" s="364"/>
    </row>
    <row r="26" spans="1:33" s="349" customFormat="1" ht="18.75">
      <c r="A26" s="334">
        <v>31</v>
      </c>
      <c r="B26" s="370" t="s">
        <v>119</v>
      </c>
      <c r="C26" s="335">
        <v>51.48039</v>
      </c>
      <c r="D26" s="336">
        <v>79.200599999999994</v>
      </c>
      <c r="E26" s="337">
        <v>64.745739970481679</v>
      </c>
      <c r="F26" s="335">
        <v>0.5</v>
      </c>
      <c r="G26" s="338">
        <f>Tabela3521[[#This Row],[ICM]]*$C$2</f>
        <v>20</v>
      </c>
      <c r="H26" s="339">
        <v>192.48098999999999</v>
      </c>
      <c r="I26" s="340">
        <v>296.12459999999999</v>
      </c>
      <c r="J26" s="341">
        <v>267.64705882352945</v>
      </c>
      <c r="K26" s="341">
        <v>0.72523591974005397</v>
      </c>
      <c r="L26" s="342">
        <f>Tabela3521[[#This Row],[ICM    ]]*$H$2</f>
        <v>10.878538796100809</v>
      </c>
      <c r="M26" s="340">
        <v>158.45524499999999</v>
      </c>
      <c r="N26" s="340">
        <v>243.7773</v>
      </c>
      <c r="O26" s="341">
        <v>272.05882352941182</v>
      </c>
      <c r="P26" s="343">
        <v>1</v>
      </c>
      <c r="Q26" s="342">
        <f>Tabela3521[[#This Row],[ICM      ]]*$M$2</f>
        <v>15</v>
      </c>
      <c r="R26" s="344">
        <v>0.65110689437065139</v>
      </c>
      <c r="S26" s="345">
        <v>0.7</v>
      </c>
      <c r="T26" s="344">
        <f t="shared" si="0"/>
        <v>10.5</v>
      </c>
      <c r="U26" s="346">
        <v>89.258312020460366</v>
      </c>
      <c r="V26" s="346">
        <v>0.9</v>
      </c>
      <c r="W26" s="346">
        <f t="shared" si="1"/>
        <v>13.5</v>
      </c>
      <c r="X26" s="347">
        <f t="shared" si="2"/>
        <v>100</v>
      </c>
      <c r="Y26" s="348">
        <f t="shared" si="3"/>
        <v>69.878538796100813</v>
      </c>
      <c r="Z26" s="348">
        <f t="shared" si="4"/>
        <v>0.69878538796100809</v>
      </c>
      <c r="AB26" s="360"/>
      <c r="AC26" s="361"/>
      <c r="AD26" s="362"/>
      <c r="AE26" s="363"/>
      <c r="AF26" s="363"/>
      <c r="AG26" s="364"/>
    </row>
    <row r="27" spans="1:33" s="349" customFormat="1" ht="18.75">
      <c r="A27" s="334">
        <v>32</v>
      </c>
      <c r="B27" s="370" t="s">
        <v>222</v>
      </c>
      <c r="C27" s="335">
        <v>28.397850000000002</v>
      </c>
      <c r="D27" s="336">
        <v>43.689</v>
      </c>
      <c r="E27" s="337">
        <v>50.903361344537814</v>
      </c>
      <c r="F27" s="335">
        <v>1</v>
      </c>
      <c r="G27" s="338">
        <f>Tabela3521[[#This Row],[ICM]]*$C$2</f>
        <v>40</v>
      </c>
      <c r="H27" s="339">
        <v>112.53463000000001</v>
      </c>
      <c r="I27" s="340">
        <v>173.1302</v>
      </c>
      <c r="J27" s="341">
        <v>203.40909090909093</v>
      </c>
      <c r="K27" s="341">
        <v>1</v>
      </c>
      <c r="L27" s="342">
        <f>Tabela3521[[#This Row],[ICM    ]]*$H$2</f>
        <v>15</v>
      </c>
      <c r="M27" s="340">
        <v>110.29655000000001</v>
      </c>
      <c r="N27" s="340">
        <v>169.68700000000001</v>
      </c>
      <c r="O27" s="341">
        <v>201.21951219512198</v>
      </c>
      <c r="P27" s="343">
        <v>1</v>
      </c>
      <c r="Q27" s="342">
        <f>Tabela3521[[#This Row],[ICM      ]]*$M$2</f>
        <v>15</v>
      </c>
      <c r="R27" s="344">
        <v>0.42623274161735702</v>
      </c>
      <c r="S27" s="345">
        <v>0.5</v>
      </c>
      <c r="T27" s="344">
        <f t="shared" si="0"/>
        <v>7.5</v>
      </c>
      <c r="U27" s="346">
        <v>85.567010309278345</v>
      </c>
      <c r="V27" s="346">
        <v>0.9</v>
      </c>
      <c r="W27" s="346">
        <f t="shared" si="1"/>
        <v>13.5</v>
      </c>
      <c r="X27" s="347">
        <f t="shared" si="2"/>
        <v>100</v>
      </c>
      <c r="Y27" s="348">
        <f t="shared" si="3"/>
        <v>91</v>
      </c>
      <c r="Z27" s="348">
        <f t="shared" si="4"/>
        <v>0.91</v>
      </c>
      <c r="AB27" s="360"/>
      <c r="AC27" s="361"/>
      <c r="AD27" s="362"/>
      <c r="AE27" s="363"/>
      <c r="AF27" s="363"/>
      <c r="AG27" s="364"/>
    </row>
    <row r="28" spans="1:33" s="349" customFormat="1" ht="18.75">
      <c r="A28" s="334">
        <v>33</v>
      </c>
      <c r="B28" s="370" t="s">
        <v>73</v>
      </c>
      <c r="C28" s="335">
        <v>48.045595000000006</v>
      </c>
      <c r="D28" s="336">
        <v>73.916300000000007</v>
      </c>
      <c r="E28" s="337">
        <v>61.428571428571431</v>
      </c>
      <c r="F28" s="335">
        <v>0.75</v>
      </c>
      <c r="G28" s="338">
        <f>Tabela3521[[#This Row],[ICM]]*$C$2</f>
        <v>30</v>
      </c>
      <c r="H28" s="339">
        <v>126.031035</v>
      </c>
      <c r="I28" s="340">
        <v>193.8939</v>
      </c>
      <c r="J28" s="341">
        <v>186.60714285714283</v>
      </c>
      <c r="K28" s="341">
        <v>0.89262526504212325</v>
      </c>
      <c r="L28" s="342">
        <f>Tabela3521[[#This Row],[ICM    ]]*$H$2</f>
        <v>13.389378975631848</v>
      </c>
      <c r="M28" s="340">
        <v>66.534975000000003</v>
      </c>
      <c r="N28" s="340">
        <v>102.36150000000001</v>
      </c>
      <c r="O28" s="341">
        <v>166.99029126213591</v>
      </c>
      <c r="P28" s="343">
        <v>1</v>
      </c>
      <c r="Q28" s="342">
        <f>Tabela3521[[#This Row],[ICM      ]]*$M$2</f>
        <v>15</v>
      </c>
      <c r="R28" s="344">
        <v>0</v>
      </c>
      <c r="S28" s="345">
        <v>0</v>
      </c>
      <c r="T28" s="344">
        <f t="shared" si="0"/>
        <v>0</v>
      </c>
      <c r="U28" s="346">
        <v>68.220338983050837</v>
      </c>
      <c r="V28" s="346">
        <v>0.7</v>
      </c>
      <c r="W28" s="346">
        <f t="shared" si="1"/>
        <v>10.5</v>
      </c>
      <c r="X28" s="347">
        <f t="shared" si="2"/>
        <v>100</v>
      </c>
      <c r="Y28" s="348">
        <f t="shared" si="3"/>
        <v>68.889378975631843</v>
      </c>
      <c r="Z28" s="348">
        <f t="shared" si="4"/>
        <v>0.68889378975631843</v>
      </c>
      <c r="AB28" s="360"/>
      <c r="AC28" s="361"/>
      <c r="AD28" s="362"/>
      <c r="AE28" s="363"/>
      <c r="AF28" s="363"/>
      <c r="AG28" s="364"/>
    </row>
    <row r="29" spans="1:33" s="349" customFormat="1" ht="18.75">
      <c r="A29" s="334">
        <v>34</v>
      </c>
      <c r="B29" s="370" t="s">
        <v>115</v>
      </c>
      <c r="C29" s="335">
        <v>51.130105</v>
      </c>
      <c r="D29" s="336">
        <v>78.661699999999996</v>
      </c>
      <c r="E29" s="337">
        <v>67.850143223277541</v>
      </c>
      <c r="F29" s="335">
        <v>0.75</v>
      </c>
      <c r="G29" s="338">
        <f>Tabela3521[[#This Row],[ICM]]*$C$2</f>
        <v>30</v>
      </c>
      <c r="H29" s="339">
        <v>154.67322000000001</v>
      </c>
      <c r="I29" s="340">
        <v>237.9588</v>
      </c>
      <c r="J29" s="341">
        <v>236.13861386138612</v>
      </c>
      <c r="K29" s="341">
        <v>0.97814524268650249</v>
      </c>
      <c r="L29" s="342">
        <f>Tabela3521[[#This Row],[ICM    ]]*$H$2</f>
        <v>14.672178640297538</v>
      </c>
      <c r="M29" s="340">
        <v>138.873345</v>
      </c>
      <c r="N29" s="340">
        <v>213.65129999999999</v>
      </c>
      <c r="O29" s="341">
        <v>217.98941798941797</v>
      </c>
      <c r="P29" s="343">
        <v>1</v>
      </c>
      <c r="Q29" s="342">
        <f>Tabela3521[[#This Row],[ICM      ]]*$M$2</f>
        <v>15</v>
      </c>
      <c r="R29" s="344">
        <v>0.3141242937853107</v>
      </c>
      <c r="S29" s="345">
        <v>0</v>
      </c>
      <c r="T29" s="344">
        <f t="shared" si="0"/>
        <v>0</v>
      </c>
      <c r="U29" s="346">
        <v>68.036529680365305</v>
      </c>
      <c r="V29" s="346">
        <v>0.7</v>
      </c>
      <c r="W29" s="346">
        <f t="shared" si="1"/>
        <v>10.5</v>
      </c>
      <c r="X29" s="347">
        <f t="shared" si="2"/>
        <v>100</v>
      </c>
      <c r="Y29" s="348">
        <f t="shared" si="3"/>
        <v>70.172178640297545</v>
      </c>
      <c r="Z29" s="348">
        <f t="shared" si="4"/>
        <v>0.70172178640297544</v>
      </c>
      <c r="AB29" s="360"/>
      <c r="AC29" s="361"/>
      <c r="AD29" s="362"/>
      <c r="AE29" s="363"/>
      <c r="AF29" s="363"/>
      <c r="AG29" s="364"/>
    </row>
    <row r="30" spans="1:33" s="349" customFormat="1" ht="18.75">
      <c r="A30" s="334">
        <v>35</v>
      </c>
      <c r="B30" s="370" t="s">
        <v>200</v>
      </c>
      <c r="C30" s="335">
        <v>37.993540000000003</v>
      </c>
      <c r="D30" s="336">
        <v>58.451599999999999</v>
      </c>
      <c r="E30" s="337">
        <v>69.070167886353858</v>
      </c>
      <c r="F30" s="335">
        <v>1</v>
      </c>
      <c r="G30" s="338">
        <f>Tabela3521[[#This Row],[ICM]]*$C$2</f>
        <v>40</v>
      </c>
      <c r="H30" s="339">
        <v>178.48246</v>
      </c>
      <c r="I30" s="340">
        <v>274.58839999999998</v>
      </c>
      <c r="J30" s="341">
        <v>260.3174603174603</v>
      </c>
      <c r="K30" s="341">
        <v>0.85150824514551671</v>
      </c>
      <c r="L30" s="342">
        <f>Tabela3521[[#This Row],[ICM    ]]*$H$2</f>
        <v>12.77262367718275</v>
      </c>
      <c r="M30" s="340">
        <v>173.759885</v>
      </c>
      <c r="N30" s="340">
        <v>267.3229</v>
      </c>
      <c r="O30" s="341">
        <v>280.5263157894737</v>
      </c>
      <c r="P30" s="343">
        <v>1</v>
      </c>
      <c r="Q30" s="342">
        <f>Tabela3521[[#This Row],[ICM      ]]*$M$2</f>
        <v>15</v>
      </c>
      <c r="R30" s="344">
        <v>0</v>
      </c>
      <c r="S30" s="345">
        <v>0</v>
      </c>
      <c r="T30" s="344">
        <f t="shared" si="0"/>
        <v>0</v>
      </c>
      <c r="U30" s="346">
        <v>84.507042253521121</v>
      </c>
      <c r="V30" s="346">
        <v>0.9</v>
      </c>
      <c r="W30" s="346">
        <f t="shared" si="1"/>
        <v>13.5</v>
      </c>
      <c r="X30" s="347">
        <f t="shared" si="2"/>
        <v>100</v>
      </c>
      <c r="Y30" s="348">
        <f t="shared" si="3"/>
        <v>81.27262367718275</v>
      </c>
      <c r="Z30" s="348">
        <f t="shared" si="4"/>
        <v>0.81272623677182754</v>
      </c>
      <c r="AB30" s="360"/>
      <c r="AC30" s="361"/>
      <c r="AD30" s="362"/>
      <c r="AE30" s="365"/>
      <c r="AF30" s="365"/>
      <c r="AG30" s="366"/>
    </row>
    <row r="31" spans="1:33" s="349" customFormat="1" ht="18.75">
      <c r="A31" s="334">
        <v>36</v>
      </c>
      <c r="B31" s="370" t="s">
        <v>144</v>
      </c>
      <c r="C31" s="335">
        <v>47.848580000000005</v>
      </c>
      <c r="D31" s="336">
        <v>73.613200000000006</v>
      </c>
      <c r="E31" s="337">
        <v>73.112397430188906</v>
      </c>
      <c r="F31" s="335">
        <v>0.85</v>
      </c>
      <c r="G31" s="338">
        <f>Tabela3521[[#This Row],[ICM]]*$C$2</f>
        <v>34</v>
      </c>
      <c r="H31" s="339">
        <v>177.43966500000002</v>
      </c>
      <c r="I31" s="340">
        <v>272.98410000000001</v>
      </c>
      <c r="J31" s="341">
        <v>256.39534883720933</v>
      </c>
      <c r="K31" s="341">
        <v>0.8263765842271118</v>
      </c>
      <c r="L31" s="342">
        <f>Tabela3521[[#This Row],[ICM    ]]*$H$2</f>
        <v>12.395648763406676</v>
      </c>
      <c r="M31" s="340">
        <v>171.05361000000002</v>
      </c>
      <c r="N31" s="340">
        <v>263.15940000000001</v>
      </c>
      <c r="O31" s="341">
        <v>244.2528735632184</v>
      </c>
      <c r="P31" s="343">
        <v>0.7947303156861083</v>
      </c>
      <c r="Q31" s="342">
        <f>Tabela3521[[#This Row],[ICM      ]]*$M$2</f>
        <v>11.920954735291625</v>
      </c>
      <c r="R31" s="344">
        <v>0.30766283524904214</v>
      </c>
      <c r="S31" s="345">
        <v>0</v>
      </c>
      <c r="T31" s="344">
        <f t="shared" si="0"/>
        <v>0</v>
      </c>
      <c r="U31" s="346">
        <v>95.254833040421801</v>
      </c>
      <c r="V31" s="346">
        <v>1</v>
      </c>
      <c r="W31" s="346">
        <f t="shared" si="1"/>
        <v>15</v>
      </c>
      <c r="X31" s="347">
        <f t="shared" si="2"/>
        <v>100</v>
      </c>
      <c r="Y31" s="348">
        <f t="shared" si="3"/>
        <v>73.316603498698299</v>
      </c>
      <c r="Z31" s="348">
        <f t="shared" si="4"/>
        <v>0.73316603498698296</v>
      </c>
    </row>
    <row r="32" spans="1:33" s="349" customFormat="1" ht="18.75">
      <c r="A32" s="334">
        <v>37</v>
      </c>
      <c r="B32" s="370" t="s">
        <v>95</v>
      </c>
      <c r="C32" s="335">
        <v>43.530305000000006</v>
      </c>
      <c r="D32" s="336">
        <v>66.969700000000003</v>
      </c>
      <c r="E32" s="337">
        <v>74.600157785268593</v>
      </c>
      <c r="F32" s="335">
        <v>1</v>
      </c>
      <c r="G32" s="338">
        <f>Tabela3521[[#This Row],[ICM]]*$C$2</f>
        <v>40</v>
      </c>
      <c r="H32" s="339">
        <v>125.50187000000001</v>
      </c>
      <c r="I32" s="340">
        <v>193.07980000000001</v>
      </c>
      <c r="J32" s="341">
        <v>201.45985401459853</v>
      </c>
      <c r="K32" s="341">
        <v>1</v>
      </c>
      <c r="L32" s="342">
        <f>Tabela3521[[#This Row],[ICM    ]]*$H$2</f>
        <v>15</v>
      </c>
      <c r="M32" s="340">
        <v>119.62678000000001</v>
      </c>
      <c r="N32" s="340">
        <v>184.0412</v>
      </c>
      <c r="O32" s="341">
        <v>193.18181818181819</v>
      </c>
      <c r="P32" s="343">
        <v>1</v>
      </c>
      <c r="Q32" s="342">
        <f>Tabela3521[[#This Row],[ICM      ]]*$M$2</f>
        <v>15</v>
      </c>
      <c r="R32" s="344">
        <v>0.5</v>
      </c>
      <c r="S32" s="345">
        <v>0.6</v>
      </c>
      <c r="T32" s="344">
        <f t="shared" si="0"/>
        <v>9</v>
      </c>
      <c r="U32" s="346">
        <v>85.645933014354071</v>
      </c>
      <c r="V32" s="346">
        <v>0.9</v>
      </c>
      <c r="W32" s="346">
        <f t="shared" si="1"/>
        <v>13.5</v>
      </c>
      <c r="X32" s="347">
        <f t="shared" si="2"/>
        <v>100</v>
      </c>
      <c r="Y32" s="348">
        <f t="shared" si="3"/>
        <v>92.5</v>
      </c>
      <c r="Z32" s="348">
        <f t="shared" si="4"/>
        <v>0.92500000000000004</v>
      </c>
    </row>
    <row r="33" spans="1:26" s="349" customFormat="1" ht="18.75">
      <c r="A33" s="334">
        <v>38</v>
      </c>
      <c r="B33" s="370" t="s">
        <v>130</v>
      </c>
      <c r="C33" s="335">
        <v>47.248890000000003</v>
      </c>
      <c r="D33" s="336">
        <v>72.690600000000003</v>
      </c>
      <c r="E33" s="337">
        <v>72.037037037037038</v>
      </c>
      <c r="F33" s="335">
        <v>0.8</v>
      </c>
      <c r="G33" s="338">
        <f>Tabela3521[[#This Row],[ICM]]*$C$2</f>
        <v>32</v>
      </c>
      <c r="H33" s="339">
        <v>133.77812500000002</v>
      </c>
      <c r="I33" s="340">
        <v>205.8125</v>
      </c>
      <c r="J33" s="341">
        <v>193.93939393939397</v>
      </c>
      <c r="K33" s="341">
        <v>0.83517444191601531</v>
      </c>
      <c r="L33" s="342">
        <f>Tabela3521[[#This Row],[ICM    ]]*$H$2</f>
        <v>12.52761662874023</v>
      </c>
      <c r="M33" s="340">
        <v>121.10527</v>
      </c>
      <c r="N33" s="340">
        <v>186.3158</v>
      </c>
      <c r="O33" s="341">
        <v>189.0625</v>
      </c>
      <c r="P33" s="343">
        <v>1</v>
      </c>
      <c r="Q33" s="342">
        <f>Tabela3521[[#This Row],[ICM      ]]*$M$2</f>
        <v>15</v>
      </c>
      <c r="R33" s="344">
        <v>0</v>
      </c>
      <c r="S33" s="345">
        <v>0</v>
      </c>
      <c r="T33" s="344">
        <f t="shared" si="0"/>
        <v>0</v>
      </c>
      <c r="U33" s="346">
        <v>65.296803652968038</v>
      </c>
      <c r="V33" s="346">
        <v>0.7</v>
      </c>
      <c r="W33" s="346">
        <f t="shared" si="1"/>
        <v>10.5</v>
      </c>
      <c r="X33" s="347">
        <f t="shared" si="2"/>
        <v>100</v>
      </c>
      <c r="Y33" s="348">
        <f t="shared" si="3"/>
        <v>70.027616628740233</v>
      </c>
      <c r="Z33" s="348">
        <f t="shared" si="4"/>
        <v>0.7002761662874023</v>
      </c>
    </row>
    <row r="34" spans="1:26" s="349" customFormat="1" ht="18.75">
      <c r="A34" s="334">
        <v>39</v>
      </c>
      <c r="B34" s="370" t="s">
        <v>45</v>
      </c>
      <c r="C34" s="335">
        <v>48.547460000000001</v>
      </c>
      <c r="D34" s="336">
        <v>74.688400000000001</v>
      </c>
      <c r="E34" s="337">
        <v>77.583926971803947</v>
      </c>
      <c r="F34" s="335">
        <v>1</v>
      </c>
      <c r="G34" s="338">
        <f>Tabela3521[[#This Row],[ICM]]*$C$2</f>
        <v>40</v>
      </c>
      <c r="H34" s="339">
        <v>126.877205</v>
      </c>
      <c r="I34" s="340">
        <v>195.19569999999999</v>
      </c>
      <c r="J34" s="341">
        <v>212.34567901234567</v>
      </c>
      <c r="K34" s="341">
        <v>1</v>
      </c>
      <c r="L34" s="342">
        <f>Tabela3521[[#This Row],[ICM    ]]*$H$2</f>
        <v>15</v>
      </c>
      <c r="M34" s="340">
        <v>124.7259</v>
      </c>
      <c r="N34" s="340">
        <v>191.886</v>
      </c>
      <c r="O34" s="341">
        <v>211.53846153846155</v>
      </c>
      <c r="P34" s="343">
        <v>1</v>
      </c>
      <c r="Q34" s="342">
        <f>Tabela3521[[#This Row],[ICM      ]]*$M$2</f>
        <v>15</v>
      </c>
      <c r="R34" s="344">
        <v>0.48327605956471936</v>
      </c>
      <c r="S34" s="345">
        <v>0.5</v>
      </c>
      <c r="T34" s="344">
        <f t="shared" si="0"/>
        <v>7.5</v>
      </c>
      <c r="U34" s="346">
        <v>80.645161290322577</v>
      </c>
      <c r="V34" s="346">
        <v>0.9</v>
      </c>
      <c r="W34" s="346">
        <f t="shared" si="1"/>
        <v>13.5</v>
      </c>
      <c r="X34" s="347">
        <f t="shared" si="2"/>
        <v>100</v>
      </c>
      <c r="Y34" s="348">
        <f t="shared" si="3"/>
        <v>91</v>
      </c>
      <c r="Z34" s="348">
        <f t="shared" si="4"/>
        <v>0.91</v>
      </c>
    </row>
    <row r="35" spans="1:26" s="349" customFormat="1" ht="18.75">
      <c r="A35" s="334">
        <v>40</v>
      </c>
      <c r="B35" s="370" t="s">
        <v>126</v>
      </c>
      <c r="C35" s="335">
        <v>49.914735</v>
      </c>
      <c r="D35" s="336">
        <v>76.791899999999998</v>
      </c>
      <c r="E35" s="337">
        <v>64.93421052631578</v>
      </c>
      <c r="F35" s="335">
        <v>0.75</v>
      </c>
      <c r="G35" s="338">
        <f>Tabela3521[[#This Row],[ICM]]*$C$2</f>
        <v>30</v>
      </c>
      <c r="H35" s="339">
        <v>189.05405999999999</v>
      </c>
      <c r="I35" s="340">
        <v>290.85239999999999</v>
      </c>
      <c r="J35" s="341">
        <v>296.77419354838707</v>
      </c>
      <c r="K35" s="341">
        <v>1</v>
      </c>
      <c r="L35" s="342">
        <f>Tabela3521[[#This Row],[ICM    ]]*$H$2</f>
        <v>15</v>
      </c>
      <c r="M35" s="340">
        <v>163.70360500000001</v>
      </c>
      <c r="N35" s="340">
        <v>251.85169999999999</v>
      </c>
      <c r="O35" s="341">
        <v>317.74193548387098</v>
      </c>
      <c r="P35" s="343">
        <v>1</v>
      </c>
      <c r="Q35" s="342">
        <f>Tabela3521[[#This Row],[ICM      ]]*$M$2</f>
        <v>15</v>
      </c>
      <c r="R35" s="344">
        <v>0.5</v>
      </c>
      <c r="S35" s="345">
        <v>0.6</v>
      </c>
      <c r="T35" s="344">
        <f t="shared" si="0"/>
        <v>9</v>
      </c>
      <c r="U35" s="346">
        <v>81.034482758620683</v>
      </c>
      <c r="V35" s="346">
        <v>0.9</v>
      </c>
      <c r="W35" s="346">
        <f t="shared" si="1"/>
        <v>13.5</v>
      </c>
      <c r="X35" s="347">
        <f t="shared" si="2"/>
        <v>100</v>
      </c>
      <c r="Y35" s="348">
        <f t="shared" si="3"/>
        <v>82.5</v>
      </c>
      <c r="Z35" s="348">
        <f t="shared" si="4"/>
        <v>0.82499999999999996</v>
      </c>
    </row>
    <row r="36" spans="1:26" s="349" customFormat="1" ht="18.75">
      <c r="A36" s="334">
        <v>41</v>
      </c>
      <c r="B36" s="370" t="s">
        <v>58</v>
      </c>
      <c r="C36" s="335">
        <v>46.829250000000002</v>
      </c>
      <c r="D36" s="336">
        <v>72.045000000000002</v>
      </c>
      <c r="E36" s="337">
        <v>72.432167018258525</v>
      </c>
      <c r="F36" s="335">
        <v>1</v>
      </c>
      <c r="G36" s="338">
        <f>Tabela3521[[#This Row],[ICM]]*$C$2</f>
        <v>40</v>
      </c>
      <c r="H36" s="339">
        <v>166.73065499999998</v>
      </c>
      <c r="I36" s="340">
        <v>256.50869999999998</v>
      </c>
      <c r="J36" s="341">
        <v>243.13099041533548</v>
      </c>
      <c r="K36" s="341">
        <v>0.850991302108834</v>
      </c>
      <c r="L36" s="342">
        <f>Tabela3521[[#This Row],[ICM    ]]*$H$2</f>
        <v>12.76486953163251</v>
      </c>
      <c r="M36" s="340">
        <v>160.184765</v>
      </c>
      <c r="N36" s="340">
        <v>246.43809999999999</v>
      </c>
      <c r="O36" s="341">
        <v>251.29032258064512</v>
      </c>
      <c r="P36" s="343">
        <v>1</v>
      </c>
      <c r="Q36" s="342">
        <f>Tabela3521[[#This Row],[ICM      ]]*$M$2</f>
        <v>15</v>
      </c>
      <c r="R36" s="344">
        <v>0.3</v>
      </c>
      <c r="S36" s="345">
        <v>0</v>
      </c>
      <c r="T36" s="344">
        <f t="shared" si="0"/>
        <v>0</v>
      </c>
      <c r="U36" s="346">
        <v>84.782608695652172</v>
      </c>
      <c r="V36" s="346">
        <v>0.9</v>
      </c>
      <c r="W36" s="346">
        <f t="shared" si="1"/>
        <v>13.5</v>
      </c>
      <c r="X36" s="347">
        <f t="shared" si="2"/>
        <v>100</v>
      </c>
      <c r="Y36" s="348">
        <f t="shared" si="3"/>
        <v>81.264869531632513</v>
      </c>
      <c r="Z36" s="348">
        <f t="shared" si="4"/>
        <v>0.81264869531632511</v>
      </c>
    </row>
    <row r="37" spans="1:26" s="349" customFormat="1" ht="18.75">
      <c r="A37" s="334">
        <v>42</v>
      </c>
      <c r="B37" s="370" t="s">
        <v>52</v>
      </c>
      <c r="C37" s="335">
        <v>51.779065000000003</v>
      </c>
      <c r="D37" s="336">
        <v>79.6601</v>
      </c>
      <c r="E37" s="337">
        <v>75.166698193511778</v>
      </c>
      <c r="F37" s="335">
        <v>0.9</v>
      </c>
      <c r="G37" s="338">
        <f>Tabela3521[[#This Row],[ICM]]*$C$2</f>
        <v>36</v>
      </c>
      <c r="H37" s="339">
        <v>177.40105499999999</v>
      </c>
      <c r="I37" s="340">
        <v>272.92469999999997</v>
      </c>
      <c r="J37" s="341">
        <v>270.68062827225128</v>
      </c>
      <c r="K37" s="341">
        <v>0.97650768322598358</v>
      </c>
      <c r="L37" s="342">
        <f>Tabela3521[[#This Row],[ICM    ]]*$H$2</f>
        <v>14.647615248389753</v>
      </c>
      <c r="M37" s="340">
        <v>169.16393000000002</v>
      </c>
      <c r="N37" s="340">
        <v>260.25220000000002</v>
      </c>
      <c r="O37" s="341">
        <v>261.57894736842104</v>
      </c>
      <c r="P37" s="343">
        <v>1</v>
      </c>
      <c r="Q37" s="342">
        <f>Tabela3521[[#This Row],[ICM      ]]*$M$2</f>
        <v>15</v>
      </c>
      <c r="R37" s="344">
        <v>0</v>
      </c>
      <c r="S37" s="345">
        <v>0</v>
      </c>
      <c r="T37" s="344">
        <f t="shared" si="0"/>
        <v>0</v>
      </c>
      <c r="U37" s="346">
        <v>91.2</v>
      </c>
      <c r="V37" s="346">
        <v>1</v>
      </c>
      <c r="W37" s="346">
        <f t="shared" si="1"/>
        <v>15</v>
      </c>
      <c r="X37" s="347">
        <f t="shared" si="2"/>
        <v>100</v>
      </c>
      <c r="Y37" s="348">
        <f t="shared" si="3"/>
        <v>80.647615248389755</v>
      </c>
      <c r="Z37" s="348">
        <f t="shared" si="4"/>
        <v>0.80647615248389759</v>
      </c>
    </row>
    <row r="38" spans="1:26" s="349" customFormat="1" ht="18.75">
      <c r="A38" s="334">
        <v>43</v>
      </c>
      <c r="B38" s="370" t="s">
        <v>175</v>
      </c>
      <c r="C38" s="335">
        <v>41.265900000000002</v>
      </c>
      <c r="D38" s="336">
        <v>63.485999999999997</v>
      </c>
      <c r="E38" s="337">
        <v>69.801237675687005</v>
      </c>
      <c r="F38" s="335">
        <v>1</v>
      </c>
      <c r="G38" s="338">
        <f>Tabela3521[[#This Row],[ICM]]*$C$2</f>
        <v>40</v>
      </c>
      <c r="H38" s="339">
        <v>171.92447999999999</v>
      </c>
      <c r="I38" s="340">
        <v>264.49919999999997</v>
      </c>
      <c r="J38" s="341">
        <v>258.63874345549738</v>
      </c>
      <c r="K38" s="341">
        <v>0.93669484990608021</v>
      </c>
      <c r="L38" s="342">
        <f>Tabela3521[[#This Row],[ICM    ]]*$H$2</f>
        <v>14.050422748591203</v>
      </c>
      <c r="M38" s="340">
        <v>157.63156499999999</v>
      </c>
      <c r="N38" s="340">
        <v>242.51009999999999</v>
      </c>
      <c r="O38" s="341">
        <v>277.54010695187162</v>
      </c>
      <c r="P38" s="343">
        <v>1</v>
      </c>
      <c r="Q38" s="342">
        <f>Tabela3521[[#This Row],[ICM      ]]*$M$2</f>
        <v>15</v>
      </c>
      <c r="R38" s="344">
        <v>0.93412901392441028</v>
      </c>
      <c r="S38" s="345">
        <v>1</v>
      </c>
      <c r="T38" s="344">
        <f t="shared" si="0"/>
        <v>15</v>
      </c>
      <c r="U38" s="346">
        <v>85.66493955094991</v>
      </c>
      <c r="V38" s="346">
        <v>0.9</v>
      </c>
      <c r="W38" s="346">
        <f t="shared" si="1"/>
        <v>13.5</v>
      </c>
      <c r="X38" s="347">
        <f t="shared" si="2"/>
        <v>100</v>
      </c>
      <c r="Y38" s="348">
        <f t="shared" si="3"/>
        <v>97.550422748591203</v>
      </c>
      <c r="Z38" s="348">
        <f t="shared" si="4"/>
        <v>0.97550422748591203</v>
      </c>
    </row>
    <row r="39" spans="1:26" s="349" customFormat="1" ht="18.75">
      <c r="A39" s="334">
        <v>44</v>
      </c>
      <c r="B39" s="370" t="s">
        <v>94</v>
      </c>
      <c r="C39" s="335">
        <v>41.04074</v>
      </c>
      <c r="D39" s="336">
        <v>63.139600000000002</v>
      </c>
      <c r="E39" s="337">
        <v>59.471012556772642</v>
      </c>
      <c r="F39" s="335">
        <v>1</v>
      </c>
      <c r="G39" s="338">
        <f>Tabela3521[[#This Row],[ICM]]*$C$2</f>
        <v>40</v>
      </c>
      <c r="H39" s="339">
        <v>130.53287</v>
      </c>
      <c r="I39" s="340">
        <v>200.81979999999999</v>
      </c>
      <c r="J39" s="341">
        <v>177.17391304347825</v>
      </c>
      <c r="K39" s="341">
        <v>0.66358059803548475</v>
      </c>
      <c r="L39" s="342">
        <f>Tabela3521[[#This Row],[ICM    ]]*$H$2</f>
        <v>9.9537089705322721</v>
      </c>
      <c r="M39" s="340">
        <v>107.853785</v>
      </c>
      <c r="N39" s="340">
        <v>165.9289</v>
      </c>
      <c r="O39" s="341">
        <v>198.8095238095238</v>
      </c>
      <c r="P39" s="343">
        <v>1</v>
      </c>
      <c r="Q39" s="342">
        <f>Tabela3521[[#This Row],[ICM      ]]*$M$2</f>
        <v>15</v>
      </c>
      <c r="R39" s="344">
        <v>0.3</v>
      </c>
      <c r="S39" s="345">
        <v>0</v>
      </c>
      <c r="T39" s="344">
        <f t="shared" si="0"/>
        <v>0</v>
      </c>
      <c r="U39" s="346">
        <v>94.73684210526315</v>
      </c>
      <c r="V39" s="346">
        <v>1</v>
      </c>
      <c r="W39" s="346">
        <f t="shared" si="1"/>
        <v>15</v>
      </c>
      <c r="X39" s="347">
        <f t="shared" si="2"/>
        <v>100</v>
      </c>
      <c r="Y39" s="348">
        <f t="shared" si="3"/>
        <v>79.953708970532276</v>
      </c>
      <c r="Z39" s="348">
        <f t="shared" si="4"/>
        <v>0.79953708970532278</v>
      </c>
    </row>
    <row r="40" spans="1:26" s="349" customFormat="1" ht="18.75">
      <c r="A40" s="334">
        <v>45</v>
      </c>
      <c r="B40" s="370" t="s">
        <v>135</v>
      </c>
      <c r="C40" s="335">
        <v>41.183935000000005</v>
      </c>
      <c r="D40" s="336">
        <v>63.359900000000003</v>
      </c>
      <c r="E40" s="337">
        <v>60.264588859416449</v>
      </c>
      <c r="F40" s="335">
        <v>1</v>
      </c>
      <c r="G40" s="338">
        <f>Tabela3521[[#This Row],[ICM]]*$C$2</f>
        <v>40</v>
      </c>
      <c r="H40" s="339">
        <v>168.98739</v>
      </c>
      <c r="I40" s="340">
        <v>259.98059999999998</v>
      </c>
      <c r="J40" s="341">
        <v>242.44186046511629</v>
      </c>
      <c r="K40" s="341">
        <v>0.80725221656776702</v>
      </c>
      <c r="L40" s="342">
        <f>Tabela3521[[#This Row],[ICM    ]]*$H$2</f>
        <v>12.108783248516506</v>
      </c>
      <c r="M40" s="340">
        <v>132.93306000000001</v>
      </c>
      <c r="N40" s="340">
        <v>204.51240000000001</v>
      </c>
      <c r="O40" s="341">
        <v>239.02439024390245</v>
      </c>
      <c r="P40" s="343">
        <v>1</v>
      </c>
      <c r="Q40" s="342">
        <f>Tabela3521[[#This Row],[ICM      ]]*$M$2</f>
        <v>15</v>
      </c>
      <c r="R40" s="344">
        <v>0</v>
      </c>
      <c r="S40" s="345">
        <v>0</v>
      </c>
      <c r="T40" s="344">
        <f t="shared" si="0"/>
        <v>0</v>
      </c>
      <c r="U40" s="346">
        <v>89.349930843706787</v>
      </c>
      <c r="V40" s="346">
        <v>0.9</v>
      </c>
      <c r="W40" s="346">
        <f t="shared" si="1"/>
        <v>13.5</v>
      </c>
      <c r="X40" s="347">
        <f t="shared" si="2"/>
        <v>100</v>
      </c>
      <c r="Y40" s="348">
        <f t="shared" si="3"/>
        <v>80.608783248516502</v>
      </c>
      <c r="Z40" s="348">
        <f t="shared" si="4"/>
        <v>0.80608783248516502</v>
      </c>
    </row>
    <row r="41" spans="1:26" s="349" customFormat="1" ht="18.75">
      <c r="A41" s="334">
        <v>46</v>
      </c>
      <c r="B41" s="370" t="s">
        <v>213</v>
      </c>
      <c r="C41" s="335">
        <v>44.225479999999997</v>
      </c>
      <c r="D41" s="336">
        <v>68.039199999999994</v>
      </c>
      <c r="E41" s="337">
        <v>78.811830698623154</v>
      </c>
      <c r="F41" s="335">
        <v>1</v>
      </c>
      <c r="G41" s="338">
        <f>Tabela3521[[#This Row],[ICM]]*$C$2</f>
        <v>40</v>
      </c>
      <c r="H41" s="339">
        <v>68.152630000000002</v>
      </c>
      <c r="I41" s="340">
        <v>104.8502</v>
      </c>
      <c r="J41" s="341">
        <v>183.58208955223878</v>
      </c>
      <c r="K41" s="341">
        <v>1</v>
      </c>
      <c r="L41" s="342">
        <f>Tabela3521[[#This Row],[ICM    ]]*$H$2</f>
        <v>15</v>
      </c>
      <c r="M41" s="340">
        <v>64.011350000000007</v>
      </c>
      <c r="N41" s="340">
        <v>98.478999999999999</v>
      </c>
      <c r="O41" s="341">
        <v>195.3125</v>
      </c>
      <c r="P41" s="343">
        <v>1</v>
      </c>
      <c r="Q41" s="342">
        <f>Tabela3521[[#This Row],[ICM      ]]*$M$2</f>
        <v>15</v>
      </c>
      <c r="R41" s="344">
        <v>0</v>
      </c>
      <c r="S41" s="345">
        <v>0</v>
      </c>
      <c r="T41" s="344">
        <f t="shared" si="0"/>
        <v>0</v>
      </c>
      <c r="U41" s="346">
        <v>91.77215189873418</v>
      </c>
      <c r="V41" s="346">
        <v>1</v>
      </c>
      <c r="W41" s="346">
        <f t="shared" si="1"/>
        <v>15</v>
      </c>
      <c r="X41" s="347">
        <f t="shared" si="2"/>
        <v>100</v>
      </c>
      <c r="Y41" s="348">
        <f t="shared" si="3"/>
        <v>85</v>
      </c>
      <c r="Z41" s="348">
        <f t="shared" si="4"/>
        <v>0.85</v>
      </c>
    </row>
    <row r="42" spans="1:26" s="349" customFormat="1" ht="18.75">
      <c r="A42" s="334">
        <v>47</v>
      </c>
      <c r="B42" s="370" t="s">
        <v>152</v>
      </c>
      <c r="C42" s="335">
        <v>37.925485000000002</v>
      </c>
      <c r="D42" s="336">
        <v>58.346899999999998</v>
      </c>
      <c r="E42" s="337">
        <v>71.439865758817646</v>
      </c>
      <c r="F42" s="335">
        <v>1</v>
      </c>
      <c r="G42" s="338">
        <f>Tabela3521[[#This Row],[ICM]]*$C$2</f>
        <v>40</v>
      </c>
      <c r="H42" s="339">
        <v>118.02764999999999</v>
      </c>
      <c r="I42" s="340">
        <v>181.58099999999999</v>
      </c>
      <c r="J42" s="341">
        <v>218.27956989247312</v>
      </c>
      <c r="K42" s="341">
        <v>1</v>
      </c>
      <c r="L42" s="342">
        <f>Tabela3521[[#This Row],[ICM    ]]*$H$2</f>
        <v>15</v>
      </c>
      <c r="M42" s="340">
        <v>141.60328000000001</v>
      </c>
      <c r="N42" s="340">
        <v>217.85120000000001</v>
      </c>
      <c r="O42" s="341">
        <v>252.87356321839081</v>
      </c>
      <c r="P42" s="343">
        <v>1</v>
      </c>
      <c r="Q42" s="342">
        <f>Tabela3521[[#This Row],[ICM      ]]*$M$2</f>
        <v>15</v>
      </c>
      <c r="R42" s="344">
        <v>0.3</v>
      </c>
      <c r="S42" s="345">
        <v>0</v>
      </c>
      <c r="T42" s="344">
        <f t="shared" si="0"/>
        <v>0</v>
      </c>
      <c r="U42" s="346">
        <v>96.282527881040892</v>
      </c>
      <c r="V42" s="346">
        <v>1</v>
      </c>
      <c r="W42" s="346">
        <f t="shared" si="1"/>
        <v>15</v>
      </c>
      <c r="X42" s="347">
        <f t="shared" si="2"/>
        <v>100</v>
      </c>
      <c r="Y42" s="348">
        <f t="shared" si="3"/>
        <v>85</v>
      </c>
      <c r="Z42" s="348">
        <f t="shared" si="4"/>
        <v>0.85</v>
      </c>
    </row>
    <row r="43" spans="1:26" s="349" customFormat="1" ht="18.75">
      <c r="A43" s="334">
        <v>48</v>
      </c>
      <c r="B43" s="370" t="s">
        <v>146</v>
      </c>
      <c r="C43" s="335">
        <v>47.625239999999998</v>
      </c>
      <c r="D43" s="336">
        <v>73.269599999999997</v>
      </c>
      <c r="E43" s="337">
        <v>70.937500000000014</v>
      </c>
      <c r="F43" s="335">
        <v>0.7</v>
      </c>
      <c r="G43" s="338">
        <f>Tabela3521[[#This Row],[ICM]]*$C$2</f>
        <v>28</v>
      </c>
      <c r="H43" s="339">
        <v>165.38885999999999</v>
      </c>
      <c r="I43" s="340">
        <v>254.4444</v>
      </c>
      <c r="J43" s="341">
        <v>250.37037037037035</v>
      </c>
      <c r="K43" s="341">
        <v>0.95425293440891323</v>
      </c>
      <c r="L43" s="342">
        <f>Tabela3521[[#This Row],[ICM    ]]*$H$2</f>
        <v>14.313794016133699</v>
      </c>
      <c r="M43" s="340">
        <v>159.83695</v>
      </c>
      <c r="N43" s="340">
        <v>245.90299999999999</v>
      </c>
      <c r="O43" s="341">
        <v>256.81818181818181</v>
      </c>
      <c r="P43" s="343">
        <v>1</v>
      </c>
      <c r="Q43" s="342">
        <f>Tabela3521[[#This Row],[ICM      ]]*$M$2</f>
        <v>15</v>
      </c>
      <c r="R43" s="344">
        <v>0.31638504864311318</v>
      </c>
      <c r="S43" s="345">
        <v>0</v>
      </c>
      <c r="T43" s="344">
        <f t="shared" si="0"/>
        <v>0</v>
      </c>
      <c r="U43" s="346">
        <v>93.253968253968253</v>
      </c>
      <c r="V43" s="346">
        <v>1</v>
      </c>
      <c r="W43" s="346">
        <f t="shared" si="1"/>
        <v>15</v>
      </c>
      <c r="X43" s="347">
        <f t="shared" si="2"/>
        <v>100</v>
      </c>
      <c r="Y43" s="348">
        <f t="shared" si="3"/>
        <v>72.313794016133699</v>
      </c>
      <c r="Z43" s="348">
        <f t="shared" si="4"/>
        <v>0.72313794016133703</v>
      </c>
    </row>
    <row r="44" spans="1:26" s="349" customFormat="1" ht="18.75">
      <c r="A44" s="334">
        <v>49</v>
      </c>
      <c r="B44" s="370" t="s">
        <v>166</v>
      </c>
      <c r="C44" s="335">
        <v>39.737749999999998</v>
      </c>
      <c r="D44" s="336">
        <v>61.134999999999998</v>
      </c>
      <c r="E44" s="337">
        <v>66.379310344827587</v>
      </c>
      <c r="F44" s="335">
        <v>1</v>
      </c>
      <c r="G44" s="338">
        <f>Tabela3521[[#This Row],[ICM]]*$C$2</f>
        <v>40</v>
      </c>
      <c r="H44" s="339">
        <v>122.99664</v>
      </c>
      <c r="I44" s="340">
        <v>189.22559999999999</v>
      </c>
      <c r="J44" s="341">
        <v>181.48148148148147</v>
      </c>
      <c r="K44" s="341">
        <v>0.88307050996243153</v>
      </c>
      <c r="L44" s="342">
        <f>Tabela3521[[#This Row],[ICM    ]]*$H$2</f>
        <v>13.246057649436473</v>
      </c>
      <c r="M44" s="340">
        <v>113.84847500000001</v>
      </c>
      <c r="N44" s="340">
        <v>175.1515</v>
      </c>
      <c r="O44" s="341">
        <v>187.5</v>
      </c>
      <c r="P44" s="343">
        <v>1</v>
      </c>
      <c r="Q44" s="342">
        <f>Tabela3521[[#This Row],[ICM      ]]*$M$2</f>
        <v>15</v>
      </c>
      <c r="R44" s="344">
        <v>0</v>
      </c>
      <c r="S44" s="345">
        <v>0</v>
      </c>
      <c r="T44" s="344">
        <f t="shared" si="0"/>
        <v>0</v>
      </c>
      <c r="U44" s="346">
        <v>93.589743589743591</v>
      </c>
      <c r="V44" s="346">
        <v>1</v>
      </c>
      <c r="W44" s="346">
        <f t="shared" si="1"/>
        <v>15</v>
      </c>
      <c r="X44" s="347">
        <f t="shared" si="2"/>
        <v>100</v>
      </c>
      <c r="Y44" s="348">
        <f t="shared" si="3"/>
        <v>83.246057649436466</v>
      </c>
      <c r="Z44" s="348">
        <f t="shared" si="4"/>
        <v>0.83246057649436467</v>
      </c>
    </row>
    <row r="45" spans="1:26" s="349" customFormat="1" ht="18.75">
      <c r="A45" s="334">
        <v>50</v>
      </c>
      <c r="B45" s="370" t="s">
        <v>116</v>
      </c>
      <c r="C45" s="335">
        <v>48.246510000000001</v>
      </c>
      <c r="D45" s="336">
        <v>74.225399999999993</v>
      </c>
      <c r="E45" s="337">
        <v>74.159663865546221</v>
      </c>
      <c r="F45" s="335">
        <v>1</v>
      </c>
      <c r="G45" s="338">
        <f>Tabela3521[[#This Row],[ICM]]*$C$2</f>
        <v>40</v>
      </c>
      <c r="H45" s="339">
        <v>151.499335</v>
      </c>
      <c r="I45" s="340">
        <v>233.07589999999999</v>
      </c>
      <c r="J45" s="341">
        <v>225.38860103626945</v>
      </c>
      <c r="K45" s="341">
        <v>0.90576584140640704</v>
      </c>
      <c r="L45" s="342">
        <f>Tabela3521[[#This Row],[ICM    ]]*$H$2</f>
        <v>13.586487621096106</v>
      </c>
      <c r="M45" s="340">
        <v>147.10163</v>
      </c>
      <c r="N45" s="340">
        <v>226.31020000000001</v>
      </c>
      <c r="O45" s="341">
        <v>227.12765957446811</v>
      </c>
      <c r="P45" s="343">
        <v>1</v>
      </c>
      <c r="Q45" s="342">
        <f>Tabela3521[[#This Row],[ICM      ]]*$M$2</f>
        <v>15</v>
      </c>
      <c r="R45" s="344">
        <v>0</v>
      </c>
      <c r="S45" s="345">
        <v>0</v>
      </c>
      <c r="T45" s="344">
        <f t="shared" si="0"/>
        <v>0</v>
      </c>
      <c r="U45" s="346">
        <v>96.31782945736434</v>
      </c>
      <c r="V45" s="346">
        <v>1</v>
      </c>
      <c r="W45" s="346">
        <f t="shared" si="1"/>
        <v>15</v>
      </c>
      <c r="X45" s="347">
        <f t="shared" si="2"/>
        <v>100</v>
      </c>
      <c r="Y45" s="348">
        <f t="shared" si="3"/>
        <v>83.586487621096097</v>
      </c>
      <c r="Z45" s="348">
        <f t="shared" si="4"/>
        <v>0.83586487621096095</v>
      </c>
    </row>
    <row r="46" spans="1:26" s="349" customFormat="1" ht="18.75">
      <c r="A46" s="334">
        <v>51</v>
      </c>
      <c r="B46" s="370" t="s">
        <v>210</v>
      </c>
      <c r="C46" s="335">
        <v>41.000439999999998</v>
      </c>
      <c r="D46" s="336">
        <v>63.077599999999997</v>
      </c>
      <c r="E46" s="337">
        <v>73.637644158816798</v>
      </c>
      <c r="F46" s="335">
        <v>1</v>
      </c>
      <c r="G46" s="338">
        <f>Tabela3521[[#This Row],[ICM]]*$C$2</f>
        <v>40</v>
      </c>
      <c r="H46" s="339">
        <v>139.76917500000002</v>
      </c>
      <c r="I46" s="340">
        <v>215.02950000000001</v>
      </c>
      <c r="J46" s="341">
        <v>230.96446700507619</v>
      </c>
      <c r="K46" s="341">
        <v>1</v>
      </c>
      <c r="L46" s="342">
        <f>Tabela3521[[#This Row],[ICM    ]]*$H$2</f>
        <v>15</v>
      </c>
      <c r="M46" s="340">
        <v>140.10126</v>
      </c>
      <c r="N46" s="340">
        <v>215.54040000000001</v>
      </c>
      <c r="O46" s="341">
        <v>233.67346938775512</v>
      </c>
      <c r="P46" s="343">
        <v>1</v>
      </c>
      <c r="Q46" s="342">
        <f>Tabela3521[[#This Row],[ICM      ]]*$M$2</f>
        <v>15</v>
      </c>
      <c r="R46" s="344">
        <v>0</v>
      </c>
      <c r="S46" s="345">
        <v>0</v>
      </c>
      <c r="T46" s="344">
        <f t="shared" si="0"/>
        <v>0</v>
      </c>
      <c r="U46" s="346">
        <v>97.337278106508876</v>
      </c>
      <c r="V46" s="346">
        <v>1</v>
      </c>
      <c r="W46" s="346">
        <f t="shared" si="1"/>
        <v>15</v>
      </c>
      <c r="X46" s="347">
        <f t="shared" si="2"/>
        <v>100</v>
      </c>
      <c r="Y46" s="348">
        <f t="shared" si="3"/>
        <v>85</v>
      </c>
      <c r="Z46" s="348">
        <f t="shared" si="4"/>
        <v>0.85</v>
      </c>
    </row>
    <row r="47" spans="1:26" s="349" customFormat="1" ht="18.75">
      <c r="A47" s="334">
        <v>52</v>
      </c>
      <c r="B47" s="370" t="s">
        <v>197</v>
      </c>
      <c r="C47" s="335">
        <v>39.228670000000001</v>
      </c>
      <c r="D47" s="336">
        <v>60.351799999999997</v>
      </c>
      <c r="E47" s="337">
        <v>81.791686574295269</v>
      </c>
      <c r="F47" s="335">
        <v>1</v>
      </c>
      <c r="G47" s="338">
        <f>Tabela3521[[#This Row],[ICM]]*$C$2</f>
        <v>40</v>
      </c>
      <c r="H47" s="339">
        <v>139.73908</v>
      </c>
      <c r="I47" s="340">
        <v>214.98320000000001</v>
      </c>
      <c r="J47" s="341">
        <v>214.28571428571428</v>
      </c>
      <c r="K47" s="341">
        <v>0.99073036252818514</v>
      </c>
      <c r="L47" s="342">
        <f>Tabela3521[[#This Row],[ICM    ]]*$H$2</f>
        <v>14.860955437922778</v>
      </c>
      <c r="M47" s="340">
        <v>117.541645</v>
      </c>
      <c r="N47" s="340">
        <v>180.83330000000001</v>
      </c>
      <c r="O47" s="341">
        <v>211.29032258064515</v>
      </c>
      <c r="P47" s="343">
        <v>1</v>
      </c>
      <c r="Q47" s="342">
        <f>Tabela3521[[#This Row],[ICM      ]]*$M$2</f>
        <v>15</v>
      </c>
      <c r="R47" s="344">
        <v>0.5</v>
      </c>
      <c r="S47" s="345">
        <v>0.6</v>
      </c>
      <c r="T47" s="344">
        <f t="shared" si="0"/>
        <v>9</v>
      </c>
      <c r="U47" s="346">
        <v>99.695121951219505</v>
      </c>
      <c r="V47" s="346">
        <v>1</v>
      </c>
      <c r="W47" s="346">
        <f t="shared" si="1"/>
        <v>15</v>
      </c>
      <c r="X47" s="347">
        <f t="shared" si="2"/>
        <v>100</v>
      </c>
      <c r="Y47" s="348">
        <f t="shared" si="3"/>
        <v>93.860955437922769</v>
      </c>
      <c r="Z47" s="348">
        <f t="shared" si="4"/>
        <v>0.93860955437922766</v>
      </c>
    </row>
    <row r="48" spans="1:26" s="349" customFormat="1" ht="18.75">
      <c r="A48" s="334">
        <v>53</v>
      </c>
      <c r="B48" s="370" t="s">
        <v>201</v>
      </c>
      <c r="C48" s="335">
        <v>43.621045000000002</v>
      </c>
      <c r="D48" s="336">
        <v>67.109300000000005</v>
      </c>
      <c r="E48" s="337">
        <v>72.227191413237918</v>
      </c>
      <c r="F48" s="335">
        <v>1</v>
      </c>
      <c r="G48" s="338">
        <f>Tabela3521[[#This Row],[ICM]]*$C$2</f>
        <v>40</v>
      </c>
      <c r="H48" s="339">
        <v>132.06641500000001</v>
      </c>
      <c r="I48" s="340">
        <v>203.17910000000001</v>
      </c>
      <c r="J48" s="341">
        <v>197.24770642201835</v>
      </c>
      <c r="K48" s="341">
        <v>0.91659162387158277</v>
      </c>
      <c r="L48" s="342">
        <f>Tabela3521[[#This Row],[ICM    ]]*$H$2</f>
        <v>13.748874358073742</v>
      </c>
      <c r="M48" s="340">
        <v>132.17125999999999</v>
      </c>
      <c r="N48" s="340">
        <v>203.34039999999999</v>
      </c>
      <c r="O48" s="341">
        <v>204.76190476190476</v>
      </c>
      <c r="P48" s="343">
        <v>1</v>
      </c>
      <c r="Q48" s="342">
        <f>Tabela3521[[#This Row],[ICM      ]]*$M$2</f>
        <v>15</v>
      </c>
      <c r="R48" s="344">
        <v>0</v>
      </c>
      <c r="S48" s="345">
        <v>0</v>
      </c>
      <c r="T48" s="344">
        <f t="shared" si="0"/>
        <v>0</v>
      </c>
      <c r="U48" s="346">
        <v>92.63565891472868</v>
      </c>
      <c r="V48" s="346">
        <v>1</v>
      </c>
      <c r="W48" s="346">
        <f t="shared" si="1"/>
        <v>15</v>
      </c>
      <c r="X48" s="347">
        <f t="shared" si="2"/>
        <v>100</v>
      </c>
      <c r="Y48" s="348">
        <f t="shared" si="3"/>
        <v>83.748874358073749</v>
      </c>
      <c r="Z48" s="348">
        <f t="shared" si="4"/>
        <v>0.83748874358073744</v>
      </c>
    </row>
    <row r="49" spans="1:26" s="349" customFormat="1" ht="18.75">
      <c r="A49" s="334">
        <v>54</v>
      </c>
      <c r="B49" s="370" t="s">
        <v>106</v>
      </c>
      <c r="C49" s="335">
        <v>43.368845</v>
      </c>
      <c r="D49" s="336">
        <v>66.721299999999999</v>
      </c>
      <c r="E49" s="337">
        <v>64.863343157426456</v>
      </c>
      <c r="F49" s="335">
        <v>1</v>
      </c>
      <c r="G49" s="338">
        <f>Tabela3521[[#This Row],[ICM]]*$C$2</f>
        <v>40</v>
      </c>
      <c r="H49" s="339">
        <v>167.24487000000002</v>
      </c>
      <c r="I49" s="340">
        <v>257.2998</v>
      </c>
      <c r="J49" s="341">
        <v>234.17721518987341</v>
      </c>
      <c r="K49" s="341">
        <v>0.74323910073411192</v>
      </c>
      <c r="L49" s="342">
        <f>Tabela3521[[#This Row],[ICM    ]]*$H$2</f>
        <v>11.148586511011679</v>
      </c>
      <c r="M49" s="340">
        <v>85.778225000000006</v>
      </c>
      <c r="N49" s="340">
        <v>131.9665</v>
      </c>
      <c r="O49" s="341">
        <v>237.012987012987</v>
      </c>
      <c r="P49" s="343">
        <v>1</v>
      </c>
      <c r="Q49" s="342">
        <f>Tabela3521[[#This Row],[ICM      ]]*$M$2</f>
        <v>15</v>
      </c>
      <c r="R49" s="344">
        <v>0.5</v>
      </c>
      <c r="S49" s="345">
        <v>0.6</v>
      </c>
      <c r="T49" s="344">
        <f t="shared" si="0"/>
        <v>9</v>
      </c>
      <c r="U49" s="346">
        <v>93.622448979591837</v>
      </c>
      <c r="V49" s="346">
        <v>1</v>
      </c>
      <c r="W49" s="346">
        <f t="shared" si="1"/>
        <v>15</v>
      </c>
      <c r="X49" s="347">
        <f t="shared" si="2"/>
        <v>100</v>
      </c>
      <c r="Y49" s="348">
        <f t="shared" si="3"/>
        <v>90.148586511011672</v>
      </c>
      <c r="Z49" s="348">
        <f t="shared" si="4"/>
        <v>0.90148586511011675</v>
      </c>
    </row>
    <row r="50" spans="1:26" s="349" customFormat="1" ht="18.75">
      <c r="A50" s="334">
        <v>55</v>
      </c>
      <c r="B50" s="370" t="s">
        <v>81</v>
      </c>
      <c r="C50" s="335">
        <v>42.217175000000005</v>
      </c>
      <c r="D50" s="336">
        <v>64.9495</v>
      </c>
      <c r="E50" s="337">
        <v>60.707998873398104</v>
      </c>
      <c r="F50" s="335">
        <v>1</v>
      </c>
      <c r="G50" s="338">
        <f>Tabela3521[[#This Row],[ICM]]*$C$2</f>
        <v>40</v>
      </c>
      <c r="H50" s="339">
        <v>145.48403999999999</v>
      </c>
      <c r="I50" s="340">
        <v>223.82159999999999</v>
      </c>
      <c r="J50" s="341">
        <v>200.66666666666666</v>
      </c>
      <c r="K50" s="341">
        <v>0.70442105506817754</v>
      </c>
      <c r="L50" s="342">
        <f>Tabela3521[[#This Row],[ICM    ]]*$H$2</f>
        <v>10.566315826022663</v>
      </c>
      <c r="M50" s="340">
        <v>66.062944999999999</v>
      </c>
      <c r="N50" s="340">
        <v>101.6353</v>
      </c>
      <c r="O50" s="341">
        <v>200.69930069930069</v>
      </c>
      <c r="P50" s="343">
        <v>1</v>
      </c>
      <c r="Q50" s="342">
        <f>Tabela3521[[#This Row],[ICM      ]]*$M$2</f>
        <v>15</v>
      </c>
      <c r="R50" s="344">
        <v>0.5</v>
      </c>
      <c r="S50" s="345">
        <v>0.6</v>
      </c>
      <c r="T50" s="344">
        <f t="shared" si="0"/>
        <v>9</v>
      </c>
      <c r="U50" s="346">
        <v>99.644128113879006</v>
      </c>
      <c r="V50" s="346">
        <v>1</v>
      </c>
      <c r="W50" s="346">
        <f t="shared" si="1"/>
        <v>15</v>
      </c>
      <c r="X50" s="347">
        <f t="shared" si="2"/>
        <v>100</v>
      </c>
      <c r="Y50" s="348">
        <f t="shared" si="3"/>
        <v>89.56631582602266</v>
      </c>
      <c r="Z50" s="348">
        <f t="shared" si="4"/>
        <v>0.89566315826022658</v>
      </c>
    </row>
    <row r="51" spans="1:26" s="349" customFormat="1" ht="18.75">
      <c r="A51" s="334">
        <v>56</v>
      </c>
      <c r="B51" s="370" t="s">
        <v>147</v>
      </c>
      <c r="C51" s="335">
        <v>47.814715</v>
      </c>
      <c r="D51" s="336">
        <v>73.561099999999996</v>
      </c>
      <c r="E51" s="337">
        <v>76.293096448349232</v>
      </c>
      <c r="F51" s="335">
        <v>1</v>
      </c>
      <c r="G51" s="338">
        <f>Tabela3521[[#This Row],[ICM]]*$C$2</f>
        <v>40</v>
      </c>
      <c r="H51" s="339">
        <v>179.19642000000002</v>
      </c>
      <c r="I51" s="340">
        <v>275.68680000000001</v>
      </c>
      <c r="J51" s="341">
        <v>277.40740740740739</v>
      </c>
      <c r="K51" s="341">
        <v>1</v>
      </c>
      <c r="L51" s="342">
        <f>Tabela3521[[#This Row],[ICM    ]]*$H$2</f>
        <v>15</v>
      </c>
      <c r="M51" s="340">
        <v>163.60448</v>
      </c>
      <c r="N51" s="340">
        <v>251.69919999999999</v>
      </c>
      <c r="O51" s="341">
        <v>254.98154981549817</v>
      </c>
      <c r="P51" s="343">
        <v>1</v>
      </c>
      <c r="Q51" s="342">
        <f>Tabela3521[[#This Row],[ICM      ]]*$M$2</f>
        <v>15</v>
      </c>
      <c r="R51" s="344">
        <v>0</v>
      </c>
      <c r="S51" s="345">
        <v>0</v>
      </c>
      <c r="T51" s="344">
        <f t="shared" si="0"/>
        <v>0</v>
      </c>
      <c r="U51" s="346">
        <v>96.735395189003441</v>
      </c>
      <c r="V51" s="346">
        <v>1</v>
      </c>
      <c r="W51" s="346">
        <f t="shared" si="1"/>
        <v>15</v>
      </c>
      <c r="X51" s="347">
        <f t="shared" si="2"/>
        <v>100</v>
      </c>
      <c r="Y51" s="348">
        <f t="shared" si="3"/>
        <v>85</v>
      </c>
      <c r="Z51" s="348">
        <f t="shared" si="4"/>
        <v>0.85</v>
      </c>
    </row>
    <row r="52" spans="1:26" s="349" customFormat="1" ht="18.75">
      <c r="A52" s="334">
        <v>57</v>
      </c>
      <c r="B52" s="370" t="s">
        <v>171</v>
      </c>
      <c r="C52" s="335">
        <v>42.053050000000006</v>
      </c>
      <c r="D52" s="336">
        <v>64.697000000000003</v>
      </c>
      <c r="E52" s="337">
        <v>67.888198757763973</v>
      </c>
      <c r="F52" s="335">
        <v>1</v>
      </c>
      <c r="G52" s="338">
        <f>Tabela3521[[#This Row],[ICM]]*$C$2</f>
        <v>40</v>
      </c>
      <c r="H52" s="339">
        <v>109.49016000000002</v>
      </c>
      <c r="I52" s="340">
        <v>168.44640000000001</v>
      </c>
      <c r="J52" s="341">
        <v>173.4375</v>
      </c>
      <c r="K52" s="341">
        <v>1</v>
      </c>
      <c r="L52" s="342">
        <f>Tabela3521[[#This Row],[ICM    ]]*$H$2</f>
        <v>15</v>
      </c>
      <c r="M52" s="340">
        <v>93.749565000000004</v>
      </c>
      <c r="N52" s="340">
        <v>144.23009999999999</v>
      </c>
      <c r="O52" s="341">
        <v>195.23809523809521</v>
      </c>
      <c r="P52" s="343">
        <v>1</v>
      </c>
      <c r="Q52" s="342">
        <f>Tabela3521[[#This Row],[ICM      ]]*$M$2</f>
        <v>15</v>
      </c>
      <c r="R52" s="344">
        <v>0.5</v>
      </c>
      <c r="S52" s="345">
        <v>0.6</v>
      </c>
      <c r="T52" s="344">
        <f t="shared" si="0"/>
        <v>9</v>
      </c>
      <c r="U52" s="346">
        <v>99.465240641711233</v>
      </c>
      <c r="V52" s="346">
        <v>1</v>
      </c>
      <c r="W52" s="346">
        <f t="shared" si="1"/>
        <v>15</v>
      </c>
      <c r="X52" s="347">
        <f t="shared" si="2"/>
        <v>100</v>
      </c>
      <c r="Y52" s="348">
        <f t="shared" si="3"/>
        <v>94</v>
      </c>
      <c r="Z52" s="348">
        <f t="shared" si="4"/>
        <v>0.94</v>
      </c>
    </row>
    <row r="53" spans="1:26" s="349" customFormat="1" ht="18.75">
      <c r="A53" s="334">
        <v>58</v>
      </c>
      <c r="B53" s="370" t="s">
        <v>3</v>
      </c>
      <c r="C53" s="335">
        <v>51.212655000000005</v>
      </c>
      <c r="D53" s="336">
        <v>78.788700000000006</v>
      </c>
      <c r="E53" s="337">
        <v>70.930447650758424</v>
      </c>
      <c r="F53" s="335">
        <v>0.7</v>
      </c>
      <c r="G53" s="338">
        <f>Tabela3521[[#This Row],[ICM]]*$C$2</f>
        <v>28</v>
      </c>
      <c r="H53" s="339">
        <v>135.52675500000001</v>
      </c>
      <c r="I53" s="340">
        <v>208.5027</v>
      </c>
      <c r="J53" s="341">
        <v>190.69767441860466</v>
      </c>
      <c r="K53" s="341">
        <v>0.756015141956773</v>
      </c>
      <c r="L53" s="342">
        <f>Tabela3521[[#This Row],[ICM    ]]*$H$2</f>
        <v>11.340227129351595</v>
      </c>
      <c r="M53" s="340">
        <v>123.57832499999999</v>
      </c>
      <c r="N53" s="340">
        <v>190.12049999999999</v>
      </c>
      <c r="O53" s="341">
        <v>182.55813953488371</v>
      </c>
      <c r="P53" s="343">
        <v>0.88635237028070868</v>
      </c>
      <c r="Q53" s="342">
        <f>Tabela3521[[#This Row],[ICM      ]]*$M$2</f>
        <v>13.295285554210631</v>
      </c>
      <c r="R53" s="344">
        <v>0.5</v>
      </c>
      <c r="S53" s="345">
        <v>0.6</v>
      </c>
      <c r="T53" s="344">
        <f t="shared" si="0"/>
        <v>9</v>
      </c>
      <c r="U53" s="346">
        <v>96.875</v>
      </c>
      <c r="V53" s="346">
        <v>1</v>
      </c>
      <c r="W53" s="346">
        <f t="shared" si="1"/>
        <v>15</v>
      </c>
      <c r="X53" s="347">
        <f t="shared" si="2"/>
        <v>100</v>
      </c>
      <c r="Y53" s="348">
        <f t="shared" si="3"/>
        <v>76.635512683562226</v>
      </c>
      <c r="Z53" s="348">
        <f t="shared" si="4"/>
        <v>0.76635512683562224</v>
      </c>
    </row>
    <row r="54" spans="1:26" s="349" customFormat="1" ht="18.75">
      <c r="A54" s="334">
        <v>59</v>
      </c>
      <c r="B54" s="370" t="s">
        <v>174</v>
      </c>
      <c r="C54" s="335">
        <v>47.042514999999995</v>
      </c>
      <c r="D54" s="336">
        <v>72.373099999999994</v>
      </c>
      <c r="E54" s="337">
        <v>76.333716035208582</v>
      </c>
      <c r="F54" s="335">
        <v>1</v>
      </c>
      <c r="G54" s="338">
        <f>Tabela3521[[#This Row],[ICM]]*$C$2</f>
        <v>40</v>
      </c>
      <c r="H54" s="339">
        <v>121.68351</v>
      </c>
      <c r="I54" s="340">
        <v>187.2054</v>
      </c>
      <c r="J54" s="341">
        <v>185.26315789473682</v>
      </c>
      <c r="K54" s="341">
        <v>0.97035735530121037</v>
      </c>
      <c r="L54" s="342">
        <f>Tabela3521[[#This Row],[ICM    ]]*$H$2</f>
        <v>14.555360329518155</v>
      </c>
      <c r="M54" s="340">
        <v>123.227975</v>
      </c>
      <c r="N54" s="340">
        <v>189.58150000000001</v>
      </c>
      <c r="O54" s="341">
        <v>170.11494252873561</v>
      </c>
      <c r="P54" s="343">
        <v>0.70662361236627003</v>
      </c>
      <c r="Q54" s="342">
        <f>Tabela3521[[#This Row],[ICM      ]]*$M$2</f>
        <v>10.59935418549405</v>
      </c>
      <c r="R54" s="344">
        <v>0.3190136660724896</v>
      </c>
      <c r="S54" s="345">
        <v>0</v>
      </c>
      <c r="T54" s="344">
        <f t="shared" si="0"/>
        <v>0</v>
      </c>
      <c r="U54" s="346">
        <v>95.689655172413794</v>
      </c>
      <c r="V54" s="346">
        <v>1</v>
      </c>
      <c r="W54" s="346">
        <f t="shared" si="1"/>
        <v>15</v>
      </c>
      <c r="X54" s="347">
        <f t="shared" si="2"/>
        <v>100</v>
      </c>
      <c r="Y54" s="348">
        <f t="shared" si="3"/>
        <v>80.154714515012202</v>
      </c>
      <c r="Z54" s="348">
        <f t="shared" si="4"/>
        <v>0.80154714515012204</v>
      </c>
    </row>
    <row r="55" spans="1:26" s="349" customFormat="1" ht="18.75">
      <c r="A55" s="334">
        <v>60</v>
      </c>
      <c r="B55" s="370" t="s">
        <v>83</v>
      </c>
      <c r="C55" s="335">
        <v>54.842060000000004</v>
      </c>
      <c r="D55" s="336">
        <v>84.372399999999999</v>
      </c>
      <c r="E55" s="337">
        <v>82.137475901910079</v>
      </c>
      <c r="F55" s="335">
        <v>0.8</v>
      </c>
      <c r="G55" s="338">
        <f>Tabela3521[[#This Row],[ICM]]*$C$2</f>
        <v>32</v>
      </c>
      <c r="H55" s="339">
        <v>136.70071999999999</v>
      </c>
      <c r="I55" s="340">
        <v>210.30879999999999</v>
      </c>
      <c r="J55" s="341">
        <v>187.58169934640523</v>
      </c>
      <c r="K55" s="341">
        <v>0.69124176783860203</v>
      </c>
      <c r="L55" s="342">
        <f>Tabela3521[[#This Row],[ICM    ]]*$H$2</f>
        <v>10.368626517579031</v>
      </c>
      <c r="M55" s="340">
        <v>119.71563500000001</v>
      </c>
      <c r="N55" s="340">
        <v>184.17789999999999</v>
      </c>
      <c r="O55" s="341">
        <v>203.05343511450383</v>
      </c>
      <c r="P55" s="343">
        <v>1</v>
      </c>
      <c r="Q55" s="342">
        <f>Tabela3521[[#This Row],[ICM      ]]*$M$2</f>
        <v>15</v>
      </c>
      <c r="R55" s="344">
        <v>0.30206718346253231</v>
      </c>
      <c r="S55" s="345">
        <v>0</v>
      </c>
      <c r="T55" s="344">
        <f t="shared" si="0"/>
        <v>0</v>
      </c>
      <c r="U55" s="346">
        <v>85.693215339233035</v>
      </c>
      <c r="V55" s="346">
        <v>0.9</v>
      </c>
      <c r="W55" s="346">
        <f t="shared" si="1"/>
        <v>13.5</v>
      </c>
      <c r="X55" s="347">
        <f t="shared" si="2"/>
        <v>100</v>
      </c>
      <c r="Y55" s="348">
        <f t="shared" si="3"/>
        <v>70.868626517579031</v>
      </c>
      <c r="Z55" s="348">
        <f t="shared" si="4"/>
        <v>0.70868626517579036</v>
      </c>
    </row>
    <row r="56" spans="1:26" s="349" customFormat="1" ht="18.75">
      <c r="A56" s="334">
        <v>61</v>
      </c>
      <c r="B56" s="370" t="s">
        <v>148</v>
      </c>
      <c r="C56" s="335">
        <v>42.851120000000002</v>
      </c>
      <c r="D56" s="336">
        <v>65.924800000000005</v>
      </c>
      <c r="E56" s="337">
        <v>61.939400282589354</v>
      </c>
      <c r="F56" s="335">
        <v>1</v>
      </c>
      <c r="G56" s="338">
        <f>Tabela3521[[#This Row],[ICM]]*$C$2</f>
        <v>40</v>
      </c>
      <c r="H56" s="339">
        <v>196.83618500000003</v>
      </c>
      <c r="I56" s="340">
        <v>302.82490000000001</v>
      </c>
      <c r="J56" s="341">
        <v>303.43137254901961</v>
      </c>
      <c r="K56" s="341">
        <v>1</v>
      </c>
      <c r="L56" s="342">
        <f>Tabela3521[[#This Row],[ICM    ]]*$H$2</f>
        <v>15</v>
      </c>
      <c r="M56" s="340">
        <v>175.23863499999999</v>
      </c>
      <c r="N56" s="340">
        <v>269.59789999999998</v>
      </c>
      <c r="O56" s="341">
        <v>287.43961352657004</v>
      </c>
      <c r="P56" s="343">
        <v>1</v>
      </c>
      <c r="Q56" s="342">
        <f>Tabela3521[[#This Row],[ICM      ]]*$M$2</f>
        <v>15</v>
      </c>
      <c r="R56" s="344">
        <v>0</v>
      </c>
      <c r="S56" s="345">
        <v>0</v>
      </c>
      <c r="T56" s="344">
        <f t="shared" si="0"/>
        <v>0</v>
      </c>
      <c r="U56" s="346">
        <v>85.227272727272734</v>
      </c>
      <c r="V56" s="346">
        <v>0.9</v>
      </c>
      <c r="W56" s="346">
        <f t="shared" si="1"/>
        <v>13.5</v>
      </c>
      <c r="X56" s="347">
        <f t="shared" si="2"/>
        <v>100</v>
      </c>
      <c r="Y56" s="348">
        <f t="shared" si="3"/>
        <v>83.5</v>
      </c>
      <c r="Z56" s="348">
        <f t="shared" si="4"/>
        <v>0.83499999999999996</v>
      </c>
    </row>
    <row r="57" spans="1:26" s="349" customFormat="1" ht="18.75">
      <c r="A57" s="334">
        <v>62</v>
      </c>
      <c r="B57" s="370" t="s">
        <v>218</v>
      </c>
      <c r="C57" s="335">
        <v>42.176159999999996</v>
      </c>
      <c r="D57" s="336">
        <v>64.886399999999995</v>
      </c>
      <c r="E57" s="337">
        <v>64.292929292929287</v>
      </c>
      <c r="F57" s="335">
        <v>1</v>
      </c>
      <c r="G57" s="338">
        <f>Tabela3521[[#This Row],[ICM]]*$C$2</f>
        <v>40</v>
      </c>
      <c r="H57" s="339">
        <v>121.68351</v>
      </c>
      <c r="I57" s="340">
        <v>187.2054</v>
      </c>
      <c r="J57" s="341">
        <v>175</v>
      </c>
      <c r="K57" s="341">
        <v>0.81372026966865585</v>
      </c>
      <c r="L57" s="342">
        <f>Tabela3521[[#This Row],[ICM    ]]*$H$2</f>
        <v>12.205804045029838</v>
      </c>
      <c r="M57" s="340">
        <v>109.74496000000001</v>
      </c>
      <c r="N57" s="340">
        <v>168.83840000000001</v>
      </c>
      <c r="O57" s="341">
        <v>198.88888888888889</v>
      </c>
      <c r="P57" s="343">
        <v>1</v>
      </c>
      <c r="Q57" s="342">
        <f>Tabela3521[[#This Row],[ICM      ]]*$M$2</f>
        <v>15</v>
      </c>
      <c r="R57" s="344">
        <v>0.3741953082378614</v>
      </c>
      <c r="S57" s="345">
        <v>0</v>
      </c>
      <c r="T57" s="344">
        <f t="shared" si="0"/>
        <v>0</v>
      </c>
      <c r="U57" s="346">
        <v>81.712062256809332</v>
      </c>
      <c r="V57" s="346">
        <v>0.9</v>
      </c>
      <c r="W57" s="346">
        <f t="shared" si="1"/>
        <v>13.5</v>
      </c>
      <c r="X57" s="347">
        <f t="shared" si="2"/>
        <v>100</v>
      </c>
      <c r="Y57" s="348">
        <f t="shared" si="3"/>
        <v>80.705804045029836</v>
      </c>
      <c r="Z57" s="348">
        <f t="shared" si="4"/>
        <v>0.80705804045029839</v>
      </c>
    </row>
    <row r="58" spans="1:26" s="349" customFormat="1" ht="18.75">
      <c r="A58" s="334">
        <v>63</v>
      </c>
      <c r="B58" s="370" t="s">
        <v>180</v>
      </c>
      <c r="C58" s="335">
        <v>35.305205000000001</v>
      </c>
      <c r="D58" s="336">
        <v>54.3157</v>
      </c>
      <c r="E58" s="337">
        <v>67.047619047619051</v>
      </c>
      <c r="F58" s="335">
        <v>1</v>
      </c>
      <c r="G58" s="338">
        <f>Tabela3521[[#This Row],[ICM]]*$C$2</f>
        <v>40</v>
      </c>
      <c r="H58" s="339">
        <v>96.405725000000004</v>
      </c>
      <c r="I58" s="340">
        <v>148.31649999999999</v>
      </c>
      <c r="J58" s="341">
        <v>128.125</v>
      </c>
      <c r="K58" s="341">
        <v>0.61103451065795111</v>
      </c>
      <c r="L58" s="342">
        <f>Tabela3521[[#This Row],[ICM    ]]*$H$2</f>
        <v>9.1655176598692663</v>
      </c>
      <c r="M58" s="340">
        <v>98.090914999999995</v>
      </c>
      <c r="N58" s="340">
        <v>150.9091</v>
      </c>
      <c r="O58" s="341">
        <v>143.75</v>
      </c>
      <c r="P58" s="343">
        <v>0.86445766737346252</v>
      </c>
      <c r="Q58" s="342">
        <f>Tabela3521[[#This Row],[ICM      ]]*$M$2</f>
        <v>12.966865010601937</v>
      </c>
      <c r="R58" s="344">
        <v>0.5</v>
      </c>
      <c r="S58" s="345">
        <v>0.6</v>
      </c>
      <c r="T58" s="344">
        <f t="shared" si="0"/>
        <v>9</v>
      </c>
      <c r="U58" s="346">
        <v>96.951219512195124</v>
      </c>
      <c r="V58" s="346">
        <v>1</v>
      </c>
      <c r="W58" s="346">
        <f t="shared" si="1"/>
        <v>15</v>
      </c>
      <c r="X58" s="347">
        <f t="shared" si="2"/>
        <v>100</v>
      </c>
      <c r="Y58" s="348">
        <f t="shared" si="3"/>
        <v>86.132382670471202</v>
      </c>
      <c r="Z58" s="348">
        <f t="shared" si="4"/>
        <v>0.86132382670471197</v>
      </c>
    </row>
    <row r="59" spans="1:26" s="349" customFormat="1" ht="18.75">
      <c r="A59" s="334">
        <v>64</v>
      </c>
      <c r="B59" s="370" t="s">
        <v>190</v>
      </c>
      <c r="C59" s="335">
        <v>37.595739999999999</v>
      </c>
      <c r="D59" s="336">
        <v>57.839599999999997</v>
      </c>
      <c r="E59" s="337">
        <v>61.017536750635962</v>
      </c>
      <c r="F59" s="335">
        <v>1</v>
      </c>
      <c r="G59" s="338">
        <f>Tabela3521[[#This Row],[ICM]]*$C$2</f>
        <v>40</v>
      </c>
      <c r="H59" s="339">
        <v>157.35180500000001</v>
      </c>
      <c r="I59" s="340">
        <v>242.0797</v>
      </c>
      <c r="J59" s="341">
        <v>247.10424710424712</v>
      </c>
      <c r="K59" s="341">
        <v>1</v>
      </c>
      <c r="L59" s="342">
        <f>Tabela3521[[#This Row],[ICM    ]]*$H$2</f>
        <v>15</v>
      </c>
      <c r="M59" s="340">
        <v>149.21140000000003</v>
      </c>
      <c r="N59" s="340">
        <v>229.55600000000001</v>
      </c>
      <c r="O59" s="341">
        <v>257.08502024291499</v>
      </c>
      <c r="P59" s="343">
        <v>1</v>
      </c>
      <c r="Q59" s="342">
        <f>Tabela3521[[#This Row],[ICM      ]]*$M$2</f>
        <v>15</v>
      </c>
      <c r="R59" s="344">
        <v>0</v>
      </c>
      <c r="S59" s="345">
        <v>0</v>
      </c>
      <c r="T59" s="344">
        <f t="shared" si="0"/>
        <v>0</v>
      </c>
      <c r="U59" s="346">
        <v>71.487039563437932</v>
      </c>
      <c r="V59" s="346">
        <v>0.8</v>
      </c>
      <c r="W59" s="346">
        <f t="shared" si="1"/>
        <v>12</v>
      </c>
      <c r="X59" s="347">
        <f t="shared" si="2"/>
        <v>100</v>
      </c>
      <c r="Y59" s="348">
        <f t="shared" si="3"/>
        <v>82</v>
      </c>
      <c r="Z59" s="348">
        <f t="shared" si="4"/>
        <v>0.82</v>
      </c>
    </row>
    <row r="60" spans="1:26" s="349" customFormat="1" ht="18.75">
      <c r="A60" s="334">
        <v>65</v>
      </c>
      <c r="B60" s="370" t="s">
        <v>187</v>
      </c>
      <c r="C60" s="335">
        <v>44.744505000000004</v>
      </c>
      <c r="D60" s="336">
        <v>68.837699999999998</v>
      </c>
      <c r="E60" s="337">
        <v>76.010273972602732</v>
      </c>
      <c r="F60" s="335">
        <v>1</v>
      </c>
      <c r="G60" s="338">
        <f>Tabela3521[[#This Row],[ICM]]*$C$2</f>
        <v>40</v>
      </c>
      <c r="H60" s="339">
        <v>151.69778000000002</v>
      </c>
      <c r="I60" s="340">
        <v>233.38120000000001</v>
      </c>
      <c r="J60" s="341">
        <v>227.14285714285714</v>
      </c>
      <c r="K60" s="341">
        <v>0.92362779549212226</v>
      </c>
      <c r="L60" s="342">
        <f>Tabela3521[[#This Row],[ICM    ]]*$H$2</f>
        <v>13.854416932381834</v>
      </c>
      <c r="M60" s="340">
        <v>157.59081</v>
      </c>
      <c r="N60" s="340">
        <v>242.44739999999999</v>
      </c>
      <c r="O60" s="341">
        <v>242.1875</v>
      </c>
      <c r="P60" s="343">
        <v>0.99693718543250454</v>
      </c>
      <c r="Q60" s="342">
        <f>Tabela3521[[#This Row],[ICM      ]]*$M$2</f>
        <v>14.954057781487569</v>
      </c>
      <c r="R60" s="344">
        <v>0.41026033690658498</v>
      </c>
      <c r="S60" s="345">
        <v>0.5</v>
      </c>
      <c r="T60" s="344">
        <f t="shared" si="0"/>
        <v>7.5</v>
      </c>
      <c r="U60" s="346">
        <v>92.761394101876675</v>
      </c>
      <c r="V60" s="346">
        <v>1</v>
      </c>
      <c r="W60" s="346">
        <f t="shared" si="1"/>
        <v>15</v>
      </c>
      <c r="X60" s="347">
        <f t="shared" si="2"/>
        <v>100</v>
      </c>
      <c r="Y60" s="348">
        <f t="shared" si="3"/>
        <v>91.308474713869401</v>
      </c>
      <c r="Z60" s="348">
        <f t="shared" si="4"/>
        <v>0.91308474713869403</v>
      </c>
    </row>
    <row r="61" spans="1:26" s="349" customFormat="1" ht="18.75">
      <c r="A61" s="334">
        <v>66</v>
      </c>
      <c r="B61" s="370" t="s">
        <v>224</v>
      </c>
      <c r="C61" s="335">
        <v>34.769410000000001</v>
      </c>
      <c r="D61" s="336">
        <v>53.491399999999999</v>
      </c>
      <c r="E61" s="337">
        <v>63.436196926762968</v>
      </c>
      <c r="F61" s="335">
        <v>1</v>
      </c>
      <c r="G61" s="338">
        <f>Tabela3521[[#This Row],[ICM]]*$C$2</f>
        <v>40</v>
      </c>
      <c r="H61" s="339">
        <v>161.02449999999999</v>
      </c>
      <c r="I61" s="340">
        <v>247.73</v>
      </c>
      <c r="J61" s="341">
        <v>236.26373626373629</v>
      </c>
      <c r="K61" s="341">
        <v>0.86775621227876321</v>
      </c>
      <c r="L61" s="342">
        <f>Tabela3521[[#This Row],[ICM    ]]*$H$2</f>
        <v>13.016343184181448</v>
      </c>
      <c r="M61" s="340">
        <v>145.93546499999999</v>
      </c>
      <c r="N61" s="340">
        <v>224.51609999999999</v>
      </c>
      <c r="O61" s="341">
        <v>222.28571428571428</v>
      </c>
      <c r="P61" s="343">
        <v>0.9716165984878371</v>
      </c>
      <c r="Q61" s="342">
        <f>Tabela3521[[#This Row],[ICM      ]]*$M$2</f>
        <v>14.574248977317556</v>
      </c>
      <c r="R61" s="344">
        <v>1</v>
      </c>
      <c r="S61" s="345">
        <v>1</v>
      </c>
      <c r="T61" s="344">
        <f t="shared" si="0"/>
        <v>15</v>
      </c>
      <c r="U61" s="346">
        <v>99.095840867992763</v>
      </c>
      <c r="V61" s="346">
        <v>1</v>
      </c>
      <c r="W61" s="346">
        <f t="shared" si="1"/>
        <v>15</v>
      </c>
      <c r="X61" s="347">
        <f t="shared" si="2"/>
        <v>100</v>
      </c>
      <c r="Y61" s="348">
        <f t="shared" si="3"/>
        <v>97.590592161499004</v>
      </c>
      <c r="Z61" s="348">
        <f t="shared" si="4"/>
        <v>0.97590592161499001</v>
      </c>
    </row>
    <row r="62" spans="1:26" s="349" customFormat="1" ht="18.75">
      <c r="A62" s="334">
        <v>67</v>
      </c>
      <c r="B62" s="370" t="s">
        <v>161</v>
      </c>
      <c r="C62" s="335">
        <v>43.972954999999999</v>
      </c>
      <c r="D62" s="336">
        <v>67.650700000000001</v>
      </c>
      <c r="E62" s="337">
        <v>70.870433789954348</v>
      </c>
      <c r="F62" s="335">
        <v>1</v>
      </c>
      <c r="G62" s="338">
        <f>Tabela3521[[#This Row],[ICM]]*$C$2</f>
        <v>40</v>
      </c>
      <c r="H62" s="339">
        <v>165.21420500000002</v>
      </c>
      <c r="I62" s="340">
        <v>254.17570000000001</v>
      </c>
      <c r="J62" s="341">
        <v>238.8</v>
      </c>
      <c r="K62" s="341">
        <v>0.82716455023603186</v>
      </c>
      <c r="L62" s="342">
        <f>Tabela3521[[#This Row],[ICM    ]]*$H$2</f>
        <v>12.407468253540477</v>
      </c>
      <c r="M62" s="340">
        <v>168.385165</v>
      </c>
      <c r="N62" s="340">
        <v>259.05410000000001</v>
      </c>
      <c r="O62" s="341">
        <v>261.50627615062763</v>
      </c>
      <c r="P62" s="343">
        <v>1</v>
      </c>
      <c r="Q62" s="342">
        <f>Tabela3521[[#This Row],[ICM      ]]*$M$2</f>
        <v>15</v>
      </c>
      <c r="R62" s="344">
        <v>0.80387481613645462</v>
      </c>
      <c r="S62" s="345">
        <v>1</v>
      </c>
      <c r="T62" s="344">
        <f t="shared" si="0"/>
        <v>15</v>
      </c>
      <c r="U62" s="346">
        <v>92.672413793103445</v>
      </c>
      <c r="V62" s="346">
        <v>1</v>
      </c>
      <c r="W62" s="346">
        <f t="shared" si="1"/>
        <v>15</v>
      </c>
      <c r="X62" s="347">
        <f t="shared" si="2"/>
        <v>100</v>
      </c>
      <c r="Y62" s="348">
        <f t="shared" si="3"/>
        <v>97.407468253540486</v>
      </c>
      <c r="Z62" s="348">
        <f t="shared" si="4"/>
        <v>0.97407468253540486</v>
      </c>
    </row>
    <row r="63" spans="1:26" s="349" customFormat="1" ht="18.75">
      <c r="A63" s="334">
        <v>68</v>
      </c>
      <c r="B63" s="370" t="s">
        <v>92</v>
      </c>
      <c r="C63" s="335">
        <v>42.43421</v>
      </c>
      <c r="D63" s="336">
        <v>65.2834</v>
      </c>
      <c r="E63" s="337">
        <v>74.233591204309178</v>
      </c>
      <c r="F63" s="335">
        <v>1</v>
      </c>
      <c r="G63" s="338">
        <f>Tabela3521[[#This Row],[ICM]]*$C$2</f>
        <v>40</v>
      </c>
      <c r="H63" s="339">
        <v>167.31949</v>
      </c>
      <c r="I63" s="340">
        <v>257.41460000000001</v>
      </c>
      <c r="J63" s="341">
        <v>238.88888888888886</v>
      </c>
      <c r="K63" s="341">
        <v>0.7943760642379909</v>
      </c>
      <c r="L63" s="342">
        <f>Tabela3521[[#This Row],[ICM    ]]*$H$2</f>
        <v>11.915640963569864</v>
      </c>
      <c r="M63" s="340">
        <v>173.21252000000001</v>
      </c>
      <c r="N63" s="340">
        <v>266.48079999999999</v>
      </c>
      <c r="O63" s="341">
        <v>241.93548387096774</v>
      </c>
      <c r="P63" s="343">
        <v>0.7368310412818565</v>
      </c>
      <c r="Q63" s="342">
        <f>Tabela3521[[#This Row],[ICM      ]]*$M$2</f>
        <v>11.052465619227847</v>
      </c>
      <c r="R63" s="344">
        <v>0.38155699721964781</v>
      </c>
      <c r="S63" s="345">
        <v>0</v>
      </c>
      <c r="T63" s="344">
        <f t="shared" si="0"/>
        <v>0</v>
      </c>
      <c r="U63" s="346">
        <v>89.454545454545453</v>
      </c>
      <c r="V63" s="346">
        <v>0.9</v>
      </c>
      <c r="W63" s="346">
        <f t="shared" si="1"/>
        <v>13.5</v>
      </c>
      <c r="X63" s="347">
        <f t="shared" si="2"/>
        <v>100</v>
      </c>
      <c r="Y63" s="348">
        <f t="shared" si="3"/>
        <v>76.468106582797702</v>
      </c>
      <c r="Z63" s="348">
        <f t="shared" si="4"/>
        <v>0.76468106582797701</v>
      </c>
    </row>
    <row r="64" spans="1:26" s="349" customFormat="1" ht="18.75">
      <c r="A64" s="334">
        <v>69</v>
      </c>
      <c r="B64" s="370" t="s">
        <v>226</v>
      </c>
      <c r="C64" s="335">
        <v>41.279225000000004</v>
      </c>
      <c r="D64" s="336">
        <v>63.506500000000003</v>
      </c>
      <c r="E64" s="337">
        <v>100</v>
      </c>
      <c r="F64" s="335">
        <v>1</v>
      </c>
      <c r="G64" s="338">
        <f>Tabela3521[[#This Row],[ICM]]*$C$2</f>
        <v>40</v>
      </c>
      <c r="H64" s="339">
        <v>103.53141500000001</v>
      </c>
      <c r="I64" s="340">
        <v>159.2791</v>
      </c>
      <c r="J64" s="341">
        <v>162.06896551724137</v>
      </c>
      <c r="K64" s="341">
        <v>1</v>
      </c>
      <c r="L64" s="342">
        <f>Tabela3521[[#This Row],[ICM    ]]*$H$2</f>
        <v>15</v>
      </c>
      <c r="M64" s="340">
        <v>116.16579</v>
      </c>
      <c r="N64" s="340">
        <v>178.7166</v>
      </c>
      <c r="O64" s="341">
        <v>163.79310344827587</v>
      </c>
      <c r="P64" s="343">
        <v>0.76141801278474053</v>
      </c>
      <c r="Q64" s="342">
        <f>Tabela3521[[#This Row],[ICM      ]]*$M$2</f>
        <v>11.421270191771107</v>
      </c>
      <c r="R64" s="344">
        <v>0.3</v>
      </c>
      <c r="S64" s="345">
        <v>0</v>
      </c>
      <c r="T64" s="344">
        <f t="shared" si="0"/>
        <v>0</v>
      </c>
      <c r="U64" s="346">
        <v>98.924731182795696</v>
      </c>
      <c r="V64" s="346">
        <v>1</v>
      </c>
      <c r="W64" s="346">
        <f t="shared" si="1"/>
        <v>15</v>
      </c>
      <c r="X64" s="347">
        <f t="shared" si="2"/>
        <v>100</v>
      </c>
      <c r="Y64" s="348">
        <f t="shared" si="3"/>
        <v>81.4212701917711</v>
      </c>
      <c r="Z64" s="348">
        <f t="shared" si="4"/>
        <v>0.814212701917711</v>
      </c>
    </row>
    <row r="65" spans="1:26" s="349" customFormat="1" ht="18.75">
      <c r="A65" s="334">
        <v>70</v>
      </c>
      <c r="B65" s="370" t="s">
        <v>158</v>
      </c>
      <c r="C65" s="335">
        <v>40.792765000000003</v>
      </c>
      <c r="D65" s="336">
        <v>62.758099999999999</v>
      </c>
      <c r="E65" s="337">
        <v>70.390653822504618</v>
      </c>
      <c r="F65" s="335">
        <v>1</v>
      </c>
      <c r="G65" s="338">
        <f>Tabela3521[[#This Row],[ICM]]*$C$2</f>
        <v>40</v>
      </c>
      <c r="H65" s="339">
        <v>181.53057000000001</v>
      </c>
      <c r="I65" s="340">
        <v>279.27780000000001</v>
      </c>
      <c r="J65" s="341">
        <v>274.64788732394368</v>
      </c>
      <c r="K65" s="341">
        <v>0.95263382219571502</v>
      </c>
      <c r="L65" s="342">
        <f>Tabela3521[[#This Row],[ICM    ]]*$H$2</f>
        <v>14.289507332935726</v>
      </c>
      <c r="M65" s="340">
        <v>168.00530499999999</v>
      </c>
      <c r="N65" s="340">
        <v>258.46969999999999</v>
      </c>
      <c r="O65" s="341">
        <v>271.53284671532845</v>
      </c>
      <c r="P65" s="343">
        <v>1</v>
      </c>
      <c r="Q65" s="342">
        <f>Tabela3521[[#This Row],[ICM      ]]*$M$2</f>
        <v>15</v>
      </c>
      <c r="R65" s="344">
        <v>0</v>
      </c>
      <c r="S65" s="345">
        <v>0</v>
      </c>
      <c r="T65" s="344">
        <f t="shared" si="0"/>
        <v>0</v>
      </c>
      <c r="U65" s="346">
        <v>99.06396255850234</v>
      </c>
      <c r="V65" s="346">
        <v>1</v>
      </c>
      <c r="W65" s="346">
        <f t="shared" si="1"/>
        <v>15</v>
      </c>
      <c r="X65" s="347">
        <f t="shared" si="2"/>
        <v>100</v>
      </c>
      <c r="Y65" s="348">
        <f t="shared" si="3"/>
        <v>84.289507332935727</v>
      </c>
      <c r="Z65" s="348">
        <f t="shared" si="4"/>
        <v>0.84289507332935731</v>
      </c>
    </row>
    <row r="66" spans="1:26" s="349" customFormat="1" ht="18.75">
      <c r="A66" s="334">
        <v>71</v>
      </c>
      <c r="B66" s="370" t="s">
        <v>25</v>
      </c>
      <c r="C66" s="335">
        <v>49.976419999999997</v>
      </c>
      <c r="D66" s="336">
        <v>76.886799999999994</v>
      </c>
      <c r="E66" s="337">
        <v>92.452830188679243</v>
      </c>
      <c r="F66" s="335">
        <v>1</v>
      </c>
      <c r="G66" s="338">
        <f>Tabela3521[[#This Row],[ICM]]*$C$2</f>
        <v>40</v>
      </c>
      <c r="H66" s="339">
        <v>145.66825</v>
      </c>
      <c r="I66" s="340">
        <v>224.10499999999999</v>
      </c>
      <c r="J66" s="341">
        <v>242.64705882352945</v>
      </c>
      <c r="K66" s="341">
        <v>1</v>
      </c>
      <c r="L66" s="342">
        <f>Tabela3521[[#This Row],[ICM    ]]*$H$2</f>
        <v>15</v>
      </c>
      <c r="M66" s="340">
        <v>135.95731499999999</v>
      </c>
      <c r="N66" s="340">
        <v>209.1651</v>
      </c>
      <c r="O66" s="341">
        <v>194.02985074626866</v>
      </c>
      <c r="P66" s="343">
        <v>0.79325628751462252</v>
      </c>
      <c r="Q66" s="342">
        <f>Tabela3521[[#This Row],[ICM      ]]*$M$2</f>
        <v>11.898844312719337</v>
      </c>
      <c r="R66" s="344">
        <v>0.5</v>
      </c>
      <c r="S66" s="345">
        <v>0.6</v>
      </c>
      <c r="T66" s="344">
        <f t="shared" si="0"/>
        <v>9</v>
      </c>
      <c r="U66" s="346">
        <v>95.918367346938766</v>
      </c>
      <c r="V66" s="346">
        <v>1</v>
      </c>
      <c r="W66" s="346">
        <f t="shared" si="1"/>
        <v>15</v>
      </c>
      <c r="X66" s="347">
        <f t="shared" si="2"/>
        <v>100</v>
      </c>
      <c r="Y66" s="348">
        <f t="shared" si="3"/>
        <v>90.898844312719334</v>
      </c>
      <c r="Z66" s="348">
        <f t="shared" si="4"/>
        <v>0.90898844312719329</v>
      </c>
    </row>
    <row r="67" spans="1:26" s="349" customFormat="1" ht="18.75">
      <c r="A67" s="334">
        <v>72</v>
      </c>
      <c r="B67" s="370" t="s">
        <v>220</v>
      </c>
      <c r="C67" s="335">
        <v>32.847230000000003</v>
      </c>
      <c r="D67" s="336">
        <v>50.534199999999998</v>
      </c>
      <c r="E67" s="337">
        <v>44.642857142857146</v>
      </c>
      <c r="F67" s="335">
        <v>0.75</v>
      </c>
      <c r="G67" s="338">
        <f>Tabela3521[[#This Row],[ICM]]*$C$2</f>
        <v>30</v>
      </c>
      <c r="H67" s="339">
        <v>123.377865</v>
      </c>
      <c r="I67" s="340">
        <v>189.81209999999999</v>
      </c>
      <c r="J67" s="341">
        <v>167.24137931034483</v>
      </c>
      <c r="K67" s="341">
        <v>0.66025467607694788</v>
      </c>
      <c r="L67" s="342">
        <f>Tabela3521[[#This Row],[ICM    ]]*$H$2</f>
        <v>9.9038201411542186</v>
      </c>
      <c r="M67" s="340">
        <v>124.01467</v>
      </c>
      <c r="N67" s="340">
        <v>190.79179999999999</v>
      </c>
      <c r="O67" s="341">
        <v>163.15789473684211</v>
      </c>
      <c r="P67" s="343">
        <v>0.58617710489866992</v>
      </c>
      <c r="Q67" s="342">
        <f>Tabela3521[[#This Row],[ICM      ]]*$M$2</f>
        <v>8.7926565734800484</v>
      </c>
      <c r="R67" s="344">
        <v>0.37038123167155423</v>
      </c>
      <c r="S67" s="345">
        <v>0</v>
      </c>
      <c r="T67" s="344">
        <f t="shared" si="0"/>
        <v>0</v>
      </c>
      <c r="U67" s="346">
        <v>89.898989898989896</v>
      </c>
      <c r="V67" s="346">
        <v>0.9</v>
      </c>
      <c r="W67" s="346">
        <f t="shared" si="1"/>
        <v>13.5</v>
      </c>
      <c r="X67" s="347">
        <f t="shared" si="2"/>
        <v>100</v>
      </c>
      <c r="Y67" s="348">
        <f t="shared" si="3"/>
        <v>62.196476714634272</v>
      </c>
      <c r="Z67" s="348">
        <f t="shared" si="4"/>
        <v>0.62196476714634275</v>
      </c>
    </row>
    <row r="68" spans="1:26" s="349" customFormat="1" ht="18.75">
      <c r="A68" s="334">
        <v>73</v>
      </c>
      <c r="B68" s="370" t="s">
        <v>93</v>
      </c>
      <c r="C68" s="335">
        <v>40.511445000000002</v>
      </c>
      <c r="D68" s="336">
        <v>62.325299999999999</v>
      </c>
      <c r="E68" s="337">
        <v>78.47434590553857</v>
      </c>
      <c r="F68" s="335">
        <v>1</v>
      </c>
      <c r="G68" s="338">
        <f>Tabela3521[[#This Row],[ICM]]*$C$2</f>
        <v>40</v>
      </c>
      <c r="H68" s="339">
        <v>126.531015</v>
      </c>
      <c r="I68" s="340">
        <v>194.66309999999999</v>
      </c>
      <c r="J68" s="341">
        <v>188.70056497175139</v>
      </c>
      <c r="K68" s="341">
        <v>0.91248565153629757</v>
      </c>
      <c r="L68" s="342">
        <f>Tabela3521[[#This Row],[ICM    ]]*$H$2</f>
        <v>13.687284773044464</v>
      </c>
      <c r="M68" s="340">
        <v>139.620195</v>
      </c>
      <c r="N68" s="340">
        <v>214.80029999999999</v>
      </c>
      <c r="O68" s="341">
        <v>226.81564245810057</v>
      </c>
      <c r="P68" s="343">
        <v>1</v>
      </c>
      <c r="Q68" s="342">
        <f>Tabela3521[[#This Row],[ICM      ]]*$M$2</f>
        <v>15</v>
      </c>
      <c r="R68" s="344">
        <v>0.5</v>
      </c>
      <c r="S68" s="345">
        <v>0.6</v>
      </c>
      <c r="T68" s="344">
        <f t="shared" ref="T68:T131" si="6">S68*$R$2</f>
        <v>9</v>
      </c>
      <c r="U68" s="346">
        <v>100</v>
      </c>
      <c r="V68" s="346">
        <v>1</v>
      </c>
      <c r="W68" s="346">
        <f t="shared" ref="W68:W131" si="7">V68*$U$2</f>
        <v>15</v>
      </c>
      <c r="X68" s="347">
        <f t="shared" ref="X68:X131" si="8">(IF(ISBLANK(E68),0,$C$2))+(IF(ISBLANK(J68),0,$H$2))+(IF(ISBLANK(O68),0,$M$2))+(IF(ISBLANK(R68),0,$R$2)+(IF(ISBLANK(U68),0,$U$2)))</f>
        <v>100</v>
      </c>
      <c r="Y68" s="348">
        <f t="shared" ref="Y68:Y131" si="9">SUM(G68,L68,Q68,T68,W68)</f>
        <v>92.687284773044468</v>
      </c>
      <c r="Z68" s="348">
        <f t="shared" ref="Z68:Z131" si="10">Y68/X68</f>
        <v>0.92687284773044465</v>
      </c>
    </row>
    <row r="69" spans="1:26" s="349" customFormat="1" ht="18.75">
      <c r="A69" s="334">
        <v>74</v>
      </c>
      <c r="B69" s="370" t="s">
        <v>191</v>
      </c>
      <c r="C69" s="335">
        <v>41.383225000000003</v>
      </c>
      <c r="D69" s="336">
        <v>63.666499999999999</v>
      </c>
      <c r="E69" s="337">
        <v>67.696068124474351</v>
      </c>
      <c r="F69" s="335">
        <v>1</v>
      </c>
      <c r="G69" s="338">
        <f>Tabela3521[[#This Row],[ICM]]*$C$2</f>
        <v>40</v>
      </c>
      <c r="H69" s="339">
        <v>167.49141500000002</v>
      </c>
      <c r="I69" s="340">
        <v>257.67910000000001</v>
      </c>
      <c r="J69" s="341">
        <v>267.005076142132</v>
      </c>
      <c r="K69" s="341">
        <v>1</v>
      </c>
      <c r="L69" s="342">
        <f>Tabela3521[[#This Row],[ICM    ]]*$H$2</f>
        <v>15</v>
      </c>
      <c r="M69" s="340">
        <v>169.58435</v>
      </c>
      <c r="N69" s="340">
        <v>260.899</v>
      </c>
      <c r="O69" s="341">
        <v>259.18367346938777</v>
      </c>
      <c r="P69" s="343">
        <v>0.98121520992948852</v>
      </c>
      <c r="Q69" s="342">
        <f>Tabela3521[[#This Row],[ICM      ]]*$M$2</f>
        <v>14.718228148942329</v>
      </c>
      <c r="R69" s="344">
        <v>0.40679611650485437</v>
      </c>
      <c r="S69" s="345">
        <v>0.5</v>
      </c>
      <c r="T69" s="344">
        <f t="shared" si="6"/>
        <v>7.5</v>
      </c>
      <c r="U69" s="346">
        <v>84.907407407407405</v>
      </c>
      <c r="V69" s="346">
        <v>0.9</v>
      </c>
      <c r="W69" s="346">
        <f t="shared" si="7"/>
        <v>13.5</v>
      </c>
      <c r="X69" s="347">
        <f t="shared" si="8"/>
        <v>100</v>
      </c>
      <c r="Y69" s="348">
        <f t="shared" si="9"/>
        <v>90.71822814894233</v>
      </c>
      <c r="Z69" s="348">
        <f t="shared" si="10"/>
        <v>0.90718228148942326</v>
      </c>
    </row>
    <row r="70" spans="1:26" s="349" customFormat="1" ht="18.75">
      <c r="A70" s="334">
        <v>75</v>
      </c>
      <c r="B70" s="370" t="s">
        <v>4</v>
      </c>
      <c r="C70" s="335">
        <v>53.193725000000001</v>
      </c>
      <c r="D70" s="336">
        <v>81.836500000000001</v>
      </c>
      <c r="E70" s="337">
        <v>87.708333333333329</v>
      </c>
      <c r="F70" s="335">
        <v>1</v>
      </c>
      <c r="G70" s="338">
        <f>Tabela3521[[#This Row],[ICM]]*$C$2</f>
        <v>40</v>
      </c>
      <c r="H70" s="339">
        <v>117.57999500000001</v>
      </c>
      <c r="I70" s="340">
        <v>180.89230000000001</v>
      </c>
      <c r="J70" s="341">
        <v>183.56164383561642</v>
      </c>
      <c r="K70" s="341">
        <v>1</v>
      </c>
      <c r="L70" s="342">
        <f>Tabela3521[[#This Row],[ICM    ]]*$H$2</f>
        <v>15</v>
      </c>
      <c r="M70" s="340">
        <v>115.07957500000001</v>
      </c>
      <c r="N70" s="340">
        <v>177.0455</v>
      </c>
      <c r="O70" s="341">
        <v>184.72222222222223</v>
      </c>
      <c r="P70" s="343">
        <v>1</v>
      </c>
      <c r="Q70" s="342">
        <f>Tabela3521[[#This Row],[ICM      ]]*$M$2</f>
        <v>15</v>
      </c>
      <c r="R70" s="344">
        <v>0.5</v>
      </c>
      <c r="S70" s="345">
        <v>0.6</v>
      </c>
      <c r="T70" s="344">
        <f t="shared" si="6"/>
        <v>9</v>
      </c>
      <c r="U70" s="346">
        <v>98.755186721991706</v>
      </c>
      <c r="V70" s="346">
        <v>1</v>
      </c>
      <c r="W70" s="346">
        <f t="shared" si="7"/>
        <v>15</v>
      </c>
      <c r="X70" s="347">
        <f t="shared" si="8"/>
        <v>100</v>
      </c>
      <c r="Y70" s="348">
        <f t="shared" si="9"/>
        <v>94</v>
      </c>
      <c r="Z70" s="348">
        <f t="shared" si="10"/>
        <v>0.94</v>
      </c>
    </row>
    <row r="71" spans="1:26" s="349" customFormat="1" ht="18.75">
      <c r="A71" s="334">
        <v>76</v>
      </c>
      <c r="B71" s="370" t="s">
        <v>128</v>
      </c>
      <c r="C71" s="335">
        <v>43.530305000000006</v>
      </c>
      <c r="D71" s="336">
        <v>66.969700000000003</v>
      </c>
      <c r="E71" s="337">
        <v>68.296299897894684</v>
      </c>
      <c r="F71" s="335">
        <v>1</v>
      </c>
      <c r="G71" s="338">
        <f>Tabela3521[[#This Row],[ICM]]*$C$2</f>
        <v>40</v>
      </c>
      <c r="H71" s="339">
        <v>167.08159000000003</v>
      </c>
      <c r="I71" s="340">
        <v>257.04860000000002</v>
      </c>
      <c r="J71" s="341">
        <v>246.54377880184333</v>
      </c>
      <c r="K71" s="341">
        <v>0.88323696432551557</v>
      </c>
      <c r="L71" s="342">
        <f>Tabela3521[[#This Row],[ICM    ]]*$H$2</f>
        <v>13.248554464882734</v>
      </c>
      <c r="M71" s="340">
        <v>142.87559000000002</v>
      </c>
      <c r="N71" s="340">
        <v>219.80860000000001</v>
      </c>
      <c r="O71" s="341">
        <v>245.41284403669727</v>
      </c>
      <c r="P71" s="343">
        <v>1</v>
      </c>
      <c r="Q71" s="342">
        <f>Tabela3521[[#This Row],[ICM      ]]*$M$2</f>
        <v>15</v>
      </c>
      <c r="R71" s="344">
        <v>0.3</v>
      </c>
      <c r="S71" s="345">
        <v>0</v>
      </c>
      <c r="T71" s="344">
        <f t="shared" si="6"/>
        <v>0</v>
      </c>
      <c r="U71" s="346">
        <v>87.521367521367523</v>
      </c>
      <c r="V71" s="346">
        <v>0.9</v>
      </c>
      <c r="W71" s="346">
        <f t="shared" si="7"/>
        <v>13.5</v>
      </c>
      <c r="X71" s="347">
        <f t="shared" si="8"/>
        <v>100</v>
      </c>
      <c r="Y71" s="348">
        <f t="shared" si="9"/>
        <v>81.74855446488273</v>
      </c>
      <c r="Z71" s="348">
        <f t="shared" si="10"/>
        <v>0.81748554464882728</v>
      </c>
    </row>
    <row r="72" spans="1:26" s="349" customFormat="1" ht="18.75">
      <c r="A72" s="334">
        <v>77</v>
      </c>
      <c r="B72" s="370" t="s">
        <v>138</v>
      </c>
      <c r="C72" s="335">
        <v>41.352285000000002</v>
      </c>
      <c r="D72" s="336">
        <v>63.618899999999996</v>
      </c>
      <c r="E72" s="337">
        <v>63.584562871614182</v>
      </c>
      <c r="F72" s="335">
        <v>1</v>
      </c>
      <c r="G72" s="338">
        <f>Tabela3521[[#This Row],[ICM]]*$C$2</f>
        <v>40</v>
      </c>
      <c r="H72" s="339">
        <v>144.663285</v>
      </c>
      <c r="I72" s="340">
        <v>222.55889999999999</v>
      </c>
      <c r="J72" s="341">
        <v>216.66666666666669</v>
      </c>
      <c r="K72" s="341">
        <v>0.92435731673299826</v>
      </c>
      <c r="L72" s="342">
        <f>Tabela3521[[#This Row],[ICM    ]]*$H$2</f>
        <v>13.865359750994974</v>
      </c>
      <c r="M72" s="340">
        <v>132.50874000000002</v>
      </c>
      <c r="N72" s="340">
        <v>203.8596</v>
      </c>
      <c r="O72" s="341">
        <v>226.06060606060609</v>
      </c>
      <c r="P72" s="343">
        <v>1</v>
      </c>
      <c r="Q72" s="342">
        <f>Tabela3521[[#This Row],[ICM      ]]*$M$2</f>
        <v>15</v>
      </c>
      <c r="R72" s="344">
        <v>0</v>
      </c>
      <c r="S72" s="345">
        <v>0</v>
      </c>
      <c r="T72" s="344">
        <f t="shared" si="6"/>
        <v>0</v>
      </c>
      <c r="U72" s="346">
        <v>93.148148148148152</v>
      </c>
      <c r="V72" s="346">
        <v>1</v>
      </c>
      <c r="W72" s="346">
        <f t="shared" si="7"/>
        <v>15</v>
      </c>
      <c r="X72" s="347">
        <f t="shared" si="8"/>
        <v>100</v>
      </c>
      <c r="Y72" s="348">
        <f t="shared" si="9"/>
        <v>83.865359750994969</v>
      </c>
      <c r="Z72" s="348">
        <f t="shared" si="10"/>
        <v>0.83865359750994972</v>
      </c>
    </row>
    <row r="73" spans="1:26" s="349" customFormat="1" ht="18.75">
      <c r="A73" s="334">
        <v>78</v>
      </c>
      <c r="B73" s="370" t="s">
        <v>202</v>
      </c>
      <c r="C73" s="335">
        <v>42.575845000000001</v>
      </c>
      <c r="D73" s="336">
        <v>65.501300000000001</v>
      </c>
      <c r="E73" s="337">
        <v>60.826804606937188</v>
      </c>
      <c r="F73" s="335">
        <v>1</v>
      </c>
      <c r="G73" s="338">
        <f>Tabela3521[[#This Row],[ICM]]*$C$2</f>
        <v>40</v>
      </c>
      <c r="H73" s="339">
        <v>175.38469000000003</v>
      </c>
      <c r="I73" s="340">
        <v>269.82260000000002</v>
      </c>
      <c r="J73" s="341">
        <v>255.55555555555554</v>
      </c>
      <c r="K73" s="341">
        <v>0.84892672397721969</v>
      </c>
      <c r="L73" s="342">
        <f>Tabela3521[[#This Row],[ICM    ]]*$H$2</f>
        <v>12.733900859658295</v>
      </c>
      <c r="M73" s="340">
        <v>168.82359</v>
      </c>
      <c r="N73" s="340">
        <v>259.72859999999997</v>
      </c>
      <c r="O73" s="341">
        <v>267.47572815533977</v>
      </c>
      <c r="P73" s="343">
        <v>1</v>
      </c>
      <c r="Q73" s="342">
        <f>Tabela3521[[#This Row],[ICM      ]]*$M$2</f>
        <v>15</v>
      </c>
      <c r="R73" s="344">
        <v>0.44500768049155148</v>
      </c>
      <c r="S73" s="345">
        <v>0.5</v>
      </c>
      <c r="T73" s="344">
        <f t="shared" si="6"/>
        <v>7.5</v>
      </c>
      <c r="U73" s="346">
        <v>99.402390438247011</v>
      </c>
      <c r="V73" s="346">
        <v>1</v>
      </c>
      <c r="W73" s="346">
        <f t="shared" si="7"/>
        <v>15</v>
      </c>
      <c r="X73" s="347">
        <f t="shared" si="8"/>
        <v>100</v>
      </c>
      <c r="Y73" s="348">
        <f t="shared" si="9"/>
        <v>90.233900859658291</v>
      </c>
      <c r="Z73" s="348">
        <f t="shared" si="10"/>
        <v>0.90233900859658289</v>
      </c>
    </row>
    <row r="74" spans="1:26" s="349" customFormat="1" ht="18.75">
      <c r="A74" s="334">
        <v>79</v>
      </c>
      <c r="B74" s="370" t="s">
        <v>124</v>
      </c>
      <c r="C74" s="335">
        <v>44.158075000000004</v>
      </c>
      <c r="D74" s="336">
        <v>67.935500000000005</v>
      </c>
      <c r="E74" s="337">
        <v>50.467914438502667</v>
      </c>
      <c r="F74" s="335">
        <v>0.5</v>
      </c>
      <c r="G74" s="338">
        <f>Tabela3521[[#This Row],[ICM]]*$C$2</f>
        <v>20</v>
      </c>
      <c r="H74" s="339">
        <v>106.64355</v>
      </c>
      <c r="I74" s="340">
        <v>164.06700000000001</v>
      </c>
      <c r="J74" s="341">
        <v>173.39449541284404</v>
      </c>
      <c r="K74" s="341">
        <v>1</v>
      </c>
      <c r="L74" s="342">
        <f>Tabela3521[[#This Row],[ICM    ]]*$H$2</f>
        <v>15</v>
      </c>
      <c r="M74" s="340">
        <v>103.31288500000001</v>
      </c>
      <c r="N74" s="340">
        <v>158.94290000000001</v>
      </c>
      <c r="O74" s="341">
        <v>166.66666666666666</v>
      </c>
      <c r="P74" s="343">
        <v>1</v>
      </c>
      <c r="Q74" s="342">
        <f>Tabela3521[[#This Row],[ICM      ]]*$M$2</f>
        <v>15</v>
      </c>
      <c r="R74" s="344">
        <v>0.30577200577200575</v>
      </c>
      <c r="S74" s="345">
        <v>0</v>
      </c>
      <c r="T74" s="344">
        <f t="shared" si="6"/>
        <v>0</v>
      </c>
      <c r="U74" s="346">
        <v>96.710526315789465</v>
      </c>
      <c r="V74" s="346">
        <v>1</v>
      </c>
      <c r="W74" s="346">
        <f t="shared" si="7"/>
        <v>15</v>
      </c>
      <c r="X74" s="347">
        <f t="shared" si="8"/>
        <v>100</v>
      </c>
      <c r="Y74" s="348">
        <f t="shared" si="9"/>
        <v>65</v>
      </c>
      <c r="Z74" s="348">
        <f t="shared" si="10"/>
        <v>0.65</v>
      </c>
    </row>
    <row r="75" spans="1:26" s="349" customFormat="1" ht="18.75">
      <c r="A75" s="334">
        <v>80</v>
      </c>
      <c r="B75" s="370" t="s">
        <v>217</v>
      </c>
      <c r="C75" s="335">
        <v>41.261545000000005</v>
      </c>
      <c r="D75" s="336">
        <v>63.479300000000002</v>
      </c>
      <c r="E75" s="337">
        <v>64.3211289092296</v>
      </c>
      <c r="F75" s="335">
        <v>1</v>
      </c>
      <c r="G75" s="338">
        <f>Tabela3521[[#This Row],[ICM]]*$C$2</f>
        <v>40</v>
      </c>
      <c r="H75" s="339">
        <v>145.45114999999998</v>
      </c>
      <c r="I75" s="340">
        <v>223.77099999999999</v>
      </c>
      <c r="J75" s="341">
        <v>179.24528301886792</v>
      </c>
      <c r="K75" s="341">
        <v>0.43148873521678011</v>
      </c>
      <c r="L75" s="342">
        <f>Tabela3521[[#This Row],[ICM    ]]*$H$2</f>
        <v>6.4723310282517019</v>
      </c>
      <c r="M75" s="340">
        <v>138.27274500000001</v>
      </c>
      <c r="N75" s="340">
        <v>212.72730000000001</v>
      </c>
      <c r="O75" s="341">
        <v>175.92592592592592</v>
      </c>
      <c r="P75" s="343">
        <v>0.50572031390055194</v>
      </c>
      <c r="Q75" s="342">
        <f>Tabela3521[[#This Row],[ICM      ]]*$M$2</f>
        <v>7.5858047085082791</v>
      </c>
      <c r="R75" s="344">
        <v>0.5</v>
      </c>
      <c r="S75" s="345">
        <v>0.6</v>
      </c>
      <c r="T75" s="344">
        <f t="shared" si="6"/>
        <v>9</v>
      </c>
      <c r="U75" s="346">
        <v>88.304093567251456</v>
      </c>
      <c r="V75" s="346">
        <v>0.9</v>
      </c>
      <c r="W75" s="346">
        <f t="shared" si="7"/>
        <v>13.5</v>
      </c>
      <c r="X75" s="347">
        <f t="shared" si="8"/>
        <v>100</v>
      </c>
      <c r="Y75" s="348">
        <f t="shared" si="9"/>
        <v>76.558135736759979</v>
      </c>
      <c r="Z75" s="348">
        <f t="shared" si="10"/>
        <v>0.7655813573675998</v>
      </c>
    </row>
    <row r="76" spans="1:26" s="349" customFormat="1" ht="18.75">
      <c r="A76" s="334">
        <v>81</v>
      </c>
      <c r="B76" s="370" t="s">
        <v>123</v>
      </c>
      <c r="C76" s="335">
        <v>41.158909999999999</v>
      </c>
      <c r="D76" s="336">
        <v>63.321399999999997</v>
      </c>
      <c r="E76" s="337">
        <v>63.570987654320987</v>
      </c>
      <c r="F76" s="335">
        <v>1</v>
      </c>
      <c r="G76" s="338">
        <f>Tabela3521[[#This Row],[ICM]]*$C$2</f>
        <v>40</v>
      </c>
      <c r="H76" s="339">
        <v>131.15973</v>
      </c>
      <c r="I76" s="340">
        <v>201.7842</v>
      </c>
      <c r="J76" s="341">
        <v>177.17391304347825</v>
      </c>
      <c r="K76" s="341">
        <v>0.65153314486435443</v>
      </c>
      <c r="L76" s="342">
        <f>Tabela3521[[#This Row],[ICM    ]]*$H$2</f>
        <v>9.7729971729653169</v>
      </c>
      <c r="M76" s="340">
        <v>117.70668000000001</v>
      </c>
      <c r="N76" s="340">
        <v>181.0872</v>
      </c>
      <c r="O76" s="341">
        <v>182.66666666666666</v>
      </c>
      <c r="P76" s="343">
        <v>1</v>
      </c>
      <c r="Q76" s="342">
        <f>Tabela3521[[#This Row],[ICM      ]]*$M$2</f>
        <v>15</v>
      </c>
      <c r="R76" s="344">
        <v>0.5</v>
      </c>
      <c r="S76" s="345">
        <v>0.6</v>
      </c>
      <c r="T76" s="344">
        <f t="shared" si="6"/>
        <v>9</v>
      </c>
      <c r="U76" s="346">
        <v>99.137931034482762</v>
      </c>
      <c r="V76" s="346">
        <v>1</v>
      </c>
      <c r="W76" s="346">
        <f t="shared" si="7"/>
        <v>15</v>
      </c>
      <c r="X76" s="347">
        <f t="shared" si="8"/>
        <v>100</v>
      </c>
      <c r="Y76" s="348">
        <f t="shared" si="9"/>
        <v>88.772997172965319</v>
      </c>
      <c r="Z76" s="348">
        <f t="shared" si="10"/>
        <v>0.88772997172965318</v>
      </c>
    </row>
    <row r="77" spans="1:26" s="349" customFormat="1" ht="18.75">
      <c r="A77" s="334">
        <v>82</v>
      </c>
      <c r="B77" s="370" t="s">
        <v>179</v>
      </c>
      <c r="C77" s="335">
        <v>42.927820000000004</v>
      </c>
      <c r="D77" s="336">
        <v>66.0428</v>
      </c>
      <c r="E77" s="337">
        <v>68.220314735336189</v>
      </c>
      <c r="F77" s="335">
        <v>1</v>
      </c>
      <c r="G77" s="338">
        <f>Tabela3521[[#This Row],[ICM]]*$C$2</f>
        <v>40</v>
      </c>
      <c r="H77" s="339">
        <v>156.16692</v>
      </c>
      <c r="I77" s="340">
        <v>240.2568</v>
      </c>
      <c r="J77" s="341">
        <v>247.05882352941177</v>
      </c>
      <c r="K77" s="341">
        <v>1</v>
      </c>
      <c r="L77" s="342">
        <f>Tabela3521[[#This Row],[ICM    ]]*$H$2</f>
        <v>15</v>
      </c>
      <c r="M77" s="340">
        <v>144.63156499999999</v>
      </c>
      <c r="N77" s="340">
        <v>222.51009999999999</v>
      </c>
      <c r="O77" s="341">
        <v>233.67346938775512</v>
      </c>
      <c r="P77" s="343">
        <v>1</v>
      </c>
      <c r="Q77" s="342">
        <f>Tabela3521[[#This Row],[ICM      ]]*$M$2</f>
        <v>15</v>
      </c>
      <c r="R77" s="344">
        <v>0.35303030303030303</v>
      </c>
      <c r="S77" s="345">
        <v>0</v>
      </c>
      <c r="T77" s="344">
        <f t="shared" si="6"/>
        <v>0</v>
      </c>
      <c r="U77" s="346">
        <v>80.645161290322577</v>
      </c>
      <c r="V77" s="346">
        <v>0.9</v>
      </c>
      <c r="W77" s="346">
        <f t="shared" si="7"/>
        <v>13.5</v>
      </c>
      <c r="X77" s="347">
        <f t="shared" si="8"/>
        <v>100</v>
      </c>
      <c r="Y77" s="348">
        <f t="shared" si="9"/>
        <v>83.5</v>
      </c>
      <c r="Z77" s="348">
        <f t="shared" si="10"/>
        <v>0.83499999999999996</v>
      </c>
    </row>
    <row r="78" spans="1:26" s="349" customFormat="1" ht="18.75">
      <c r="A78" s="334">
        <v>83</v>
      </c>
      <c r="B78" s="370" t="s">
        <v>65</v>
      </c>
      <c r="C78" s="335">
        <v>43.011930000000007</v>
      </c>
      <c r="D78" s="336">
        <v>66.172200000000004</v>
      </c>
      <c r="E78" s="337">
        <v>66.531690140845072</v>
      </c>
      <c r="F78" s="335">
        <v>1</v>
      </c>
      <c r="G78" s="338">
        <f>Tabela3521[[#This Row],[ICM]]*$C$2</f>
        <v>40</v>
      </c>
      <c r="H78" s="339">
        <v>121.17846000000002</v>
      </c>
      <c r="I78" s="340">
        <v>186.42840000000001</v>
      </c>
      <c r="J78" s="341">
        <v>237.5</v>
      </c>
      <c r="K78" s="341">
        <v>1</v>
      </c>
      <c r="L78" s="342">
        <f>Tabela3521[[#This Row],[ICM    ]]*$H$2</f>
        <v>15</v>
      </c>
      <c r="M78" s="340">
        <v>119.90907500000002</v>
      </c>
      <c r="N78" s="340">
        <v>184.47550000000001</v>
      </c>
      <c r="O78" s="341">
        <v>174.19354838709677</v>
      </c>
      <c r="P78" s="343">
        <v>0.8407538962718899</v>
      </c>
      <c r="Q78" s="342">
        <f>Tabela3521[[#This Row],[ICM      ]]*$M$2</f>
        <v>12.611308444078349</v>
      </c>
      <c r="R78" s="344">
        <v>0.98050584772472726</v>
      </c>
      <c r="S78" s="345">
        <v>1</v>
      </c>
      <c r="T78" s="344">
        <f t="shared" si="6"/>
        <v>15</v>
      </c>
      <c r="U78" s="346">
        <v>99.047619047619051</v>
      </c>
      <c r="V78" s="346">
        <v>1</v>
      </c>
      <c r="W78" s="346">
        <f t="shared" si="7"/>
        <v>15</v>
      </c>
      <c r="X78" s="347">
        <f t="shared" si="8"/>
        <v>100</v>
      </c>
      <c r="Y78" s="348">
        <f t="shared" si="9"/>
        <v>97.611308444078347</v>
      </c>
      <c r="Z78" s="348">
        <f t="shared" si="10"/>
        <v>0.97611308444078349</v>
      </c>
    </row>
    <row r="79" spans="1:26" s="349" customFormat="1" ht="18.75">
      <c r="A79" s="334">
        <v>84</v>
      </c>
      <c r="B79" s="370" t="s">
        <v>125</v>
      </c>
      <c r="C79" s="335">
        <v>43.240665000000007</v>
      </c>
      <c r="D79" s="336">
        <v>66.524100000000004</v>
      </c>
      <c r="E79" s="337">
        <v>70.378247580234344</v>
      </c>
      <c r="F79" s="335">
        <v>1</v>
      </c>
      <c r="G79" s="338">
        <f>Tabela3521[[#This Row],[ICM]]*$C$2</f>
        <v>40</v>
      </c>
      <c r="H79" s="339">
        <v>146.37610000000001</v>
      </c>
      <c r="I79" s="340">
        <v>225.19399999999999</v>
      </c>
      <c r="J79" s="341">
        <v>210.08403361344537</v>
      </c>
      <c r="K79" s="341">
        <v>0.80829270525407781</v>
      </c>
      <c r="L79" s="342">
        <f>Tabela3521[[#This Row],[ICM    ]]*$H$2</f>
        <v>12.124390578811168</v>
      </c>
      <c r="M79" s="340">
        <v>147.03357500000001</v>
      </c>
      <c r="N79" s="340">
        <v>226.2055</v>
      </c>
      <c r="O79" s="341">
        <v>228.69565217391306</v>
      </c>
      <c r="P79" s="343">
        <v>1</v>
      </c>
      <c r="Q79" s="342">
        <f>Tabela3521[[#This Row],[ICM      ]]*$M$2</f>
        <v>15</v>
      </c>
      <c r="R79" s="344">
        <v>0.5</v>
      </c>
      <c r="S79" s="345">
        <v>0.6</v>
      </c>
      <c r="T79" s="344">
        <f t="shared" si="6"/>
        <v>9</v>
      </c>
      <c r="U79" s="346">
        <v>96.850393700787393</v>
      </c>
      <c r="V79" s="346">
        <v>1</v>
      </c>
      <c r="W79" s="346">
        <f t="shared" si="7"/>
        <v>15</v>
      </c>
      <c r="X79" s="347">
        <f t="shared" si="8"/>
        <v>100</v>
      </c>
      <c r="Y79" s="348">
        <f t="shared" si="9"/>
        <v>91.124390578811159</v>
      </c>
      <c r="Z79" s="348">
        <f t="shared" si="10"/>
        <v>0.91124390578811154</v>
      </c>
    </row>
    <row r="80" spans="1:26" s="349" customFormat="1" ht="18.75">
      <c r="A80" s="334">
        <v>85</v>
      </c>
      <c r="B80" s="370" t="s">
        <v>157</v>
      </c>
      <c r="C80" s="335">
        <v>43.191135000000003</v>
      </c>
      <c r="D80" s="336">
        <v>66.447900000000004</v>
      </c>
      <c r="E80" s="337">
        <v>59.268404278817336</v>
      </c>
      <c r="F80" s="335">
        <v>0.75</v>
      </c>
      <c r="G80" s="338">
        <f>Tabela3521[[#This Row],[ICM]]*$C$2</f>
        <v>30</v>
      </c>
      <c r="H80" s="339">
        <v>187.04322000000002</v>
      </c>
      <c r="I80" s="340">
        <v>287.75880000000001</v>
      </c>
      <c r="J80" s="341">
        <v>268.8</v>
      </c>
      <c r="K80" s="341">
        <v>0.81175901484159652</v>
      </c>
      <c r="L80" s="342">
        <f>Tabela3521[[#This Row],[ICM    ]]*$H$2</f>
        <v>12.176385222623948</v>
      </c>
      <c r="M80" s="340">
        <v>175.92224000000002</v>
      </c>
      <c r="N80" s="340">
        <v>270.64960000000002</v>
      </c>
      <c r="O80" s="341">
        <v>250.80645161290323</v>
      </c>
      <c r="P80" s="343">
        <v>0.79052357854059496</v>
      </c>
      <c r="Q80" s="342">
        <f>Tabela3521[[#This Row],[ICM      ]]*$M$2</f>
        <v>11.857853678108924</v>
      </c>
      <c r="R80" s="344">
        <v>0</v>
      </c>
      <c r="S80" s="345">
        <v>0</v>
      </c>
      <c r="T80" s="344">
        <f t="shared" si="6"/>
        <v>0</v>
      </c>
      <c r="U80" s="346">
        <v>77.757685352622062</v>
      </c>
      <c r="V80" s="346">
        <v>0.8</v>
      </c>
      <c r="W80" s="346">
        <f t="shared" si="7"/>
        <v>12</v>
      </c>
      <c r="X80" s="347">
        <f t="shared" si="8"/>
        <v>100</v>
      </c>
      <c r="Y80" s="348">
        <f t="shared" si="9"/>
        <v>66.034238900732873</v>
      </c>
      <c r="Z80" s="348">
        <f t="shared" si="10"/>
        <v>0.66034238900732878</v>
      </c>
    </row>
    <row r="81" spans="1:26" s="349" customFormat="1" ht="18.75">
      <c r="A81" s="334">
        <v>86</v>
      </c>
      <c r="B81" s="370" t="s">
        <v>185</v>
      </c>
      <c r="C81" s="335">
        <v>56.189120000000003</v>
      </c>
      <c r="D81" s="336">
        <v>86.444800000000001</v>
      </c>
      <c r="E81" s="337">
        <v>92.622950819672127</v>
      </c>
      <c r="F81" s="335">
        <v>1</v>
      </c>
      <c r="G81" s="338">
        <f>Tabela3521[[#This Row],[ICM]]*$C$2</f>
        <v>40</v>
      </c>
      <c r="H81" s="339">
        <v>139.99063000000001</v>
      </c>
      <c r="I81" s="340">
        <v>215.37020000000001</v>
      </c>
      <c r="J81" s="341">
        <v>232.14285714285711</v>
      </c>
      <c r="K81" s="341">
        <v>1</v>
      </c>
      <c r="L81" s="342">
        <f>Tabela3521[[#This Row],[ICM    ]]*$H$2</f>
        <v>15</v>
      </c>
      <c r="M81" s="340">
        <v>130.0949</v>
      </c>
      <c r="N81" s="340">
        <v>200.14599999999999</v>
      </c>
      <c r="O81" s="341">
        <v>226.03550295857991</v>
      </c>
      <c r="P81" s="343">
        <v>1</v>
      </c>
      <c r="Q81" s="342">
        <f>Tabela3521[[#This Row],[ICM      ]]*$M$2</f>
        <v>15</v>
      </c>
      <c r="R81" s="344">
        <v>1</v>
      </c>
      <c r="S81" s="345">
        <v>1</v>
      </c>
      <c r="T81" s="344">
        <f t="shared" si="6"/>
        <v>15</v>
      </c>
      <c r="U81" s="346">
        <v>97.524752475247524</v>
      </c>
      <c r="V81" s="346">
        <v>1</v>
      </c>
      <c r="W81" s="346">
        <f t="shared" si="7"/>
        <v>15</v>
      </c>
      <c r="X81" s="347">
        <f t="shared" si="8"/>
        <v>100</v>
      </c>
      <c r="Y81" s="348">
        <f t="shared" si="9"/>
        <v>100</v>
      </c>
      <c r="Z81" s="348">
        <f t="shared" si="10"/>
        <v>1</v>
      </c>
    </row>
    <row r="82" spans="1:26" s="349" customFormat="1" ht="18.75">
      <c r="A82" s="334">
        <v>87</v>
      </c>
      <c r="B82" s="370" t="s">
        <v>35</v>
      </c>
      <c r="C82" s="335">
        <v>43.530305000000006</v>
      </c>
      <c r="D82" s="336">
        <v>66.969700000000003</v>
      </c>
      <c r="E82" s="337">
        <v>77.227722772277232</v>
      </c>
      <c r="F82" s="335">
        <v>1</v>
      </c>
      <c r="G82" s="338">
        <f>Tabela3521[[#This Row],[ICM]]*$C$2</f>
        <v>40</v>
      </c>
      <c r="H82" s="339">
        <v>85.572370000000006</v>
      </c>
      <c r="I82" s="340">
        <v>131.6498</v>
      </c>
      <c r="J82" s="341">
        <v>178.94736842105263</v>
      </c>
      <c r="K82" s="341">
        <v>1</v>
      </c>
      <c r="L82" s="342">
        <f>Tabela3521[[#This Row],[ICM    ]]*$H$2</f>
        <v>15</v>
      </c>
      <c r="M82" s="340">
        <v>62.759450000000001</v>
      </c>
      <c r="N82" s="340">
        <v>96.552999999999997</v>
      </c>
      <c r="O82" s="341">
        <v>183.92857142857144</v>
      </c>
      <c r="P82" s="343">
        <v>1</v>
      </c>
      <c r="Q82" s="342">
        <f>Tabela3521[[#This Row],[ICM      ]]*$M$2</f>
        <v>15</v>
      </c>
      <c r="R82" s="344">
        <v>0.3</v>
      </c>
      <c r="S82" s="345">
        <v>0</v>
      </c>
      <c r="T82" s="344">
        <f t="shared" si="6"/>
        <v>0</v>
      </c>
      <c r="U82" s="346">
        <v>100</v>
      </c>
      <c r="V82" s="346">
        <v>1</v>
      </c>
      <c r="W82" s="346">
        <f t="shared" si="7"/>
        <v>15</v>
      </c>
      <c r="X82" s="347">
        <f t="shared" si="8"/>
        <v>100</v>
      </c>
      <c r="Y82" s="348">
        <f t="shared" si="9"/>
        <v>85</v>
      </c>
      <c r="Z82" s="348">
        <f t="shared" si="10"/>
        <v>0.85</v>
      </c>
    </row>
    <row r="83" spans="1:26" s="349" customFormat="1" ht="18.75">
      <c r="A83" s="334">
        <v>88</v>
      </c>
      <c r="B83" s="370" t="s">
        <v>153</v>
      </c>
      <c r="C83" s="335">
        <v>41.157155000000003</v>
      </c>
      <c r="D83" s="336">
        <v>63.3187</v>
      </c>
      <c r="E83" s="337">
        <v>54.748603351955303</v>
      </c>
      <c r="F83" s="335">
        <v>0.75</v>
      </c>
      <c r="G83" s="338">
        <f>Tabela3521[[#This Row],[ICM]]*$C$2</f>
        <v>30</v>
      </c>
      <c r="H83" s="339">
        <v>139.19191000000001</v>
      </c>
      <c r="I83" s="340">
        <v>214.1414</v>
      </c>
      <c r="J83" s="341">
        <v>190.41095890410958</v>
      </c>
      <c r="K83" s="341">
        <v>0.68338088630235605</v>
      </c>
      <c r="L83" s="342">
        <f>Tabela3521[[#This Row],[ICM    ]]*$H$2</f>
        <v>10.250713294535341</v>
      </c>
      <c r="M83" s="340">
        <v>115.16160499999999</v>
      </c>
      <c r="N83" s="340">
        <v>177.17169999999999</v>
      </c>
      <c r="O83" s="341">
        <v>197.12230215827338</v>
      </c>
      <c r="P83" s="343">
        <v>1</v>
      </c>
      <c r="Q83" s="342">
        <f>Tabela3521[[#This Row],[ICM      ]]*$M$2</f>
        <v>15</v>
      </c>
      <c r="R83" s="344">
        <v>0.90681475387357735</v>
      </c>
      <c r="S83" s="345">
        <v>1</v>
      </c>
      <c r="T83" s="344">
        <f t="shared" si="6"/>
        <v>15</v>
      </c>
      <c r="U83" s="346">
        <v>96.713615023474176</v>
      </c>
      <c r="V83" s="346">
        <v>1</v>
      </c>
      <c r="W83" s="346">
        <f t="shared" si="7"/>
        <v>15</v>
      </c>
      <c r="X83" s="347">
        <f t="shared" si="8"/>
        <v>100</v>
      </c>
      <c r="Y83" s="348">
        <f t="shared" si="9"/>
        <v>85.250713294535345</v>
      </c>
      <c r="Z83" s="348">
        <f t="shared" si="10"/>
        <v>0.85250713294535341</v>
      </c>
    </row>
    <row r="84" spans="1:26" s="349" customFormat="1" ht="18.75">
      <c r="A84" s="334">
        <v>89</v>
      </c>
      <c r="B84" s="370" t="s">
        <v>205</v>
      </c>
      <c r="C84" s="335">
        <v>35.954554999999999</v>
      </c>
      <c r="D84" s="336">
        <v>55.314700000000002</v>
      </c>
      <c r="E84" s="337">
        <v>68.571428571428569</v>
      </c>
      <c r="F84" s="335">
        <v>1</v>
      </c>
      <c r="G84" s="338">
        <f>Tabela3521[[#This Row],[ICM]]*$C$2</f>
        <v>40</v>
      </c>
      <c r="H84" s="339">
        <v>157.54205999999999</v>
      </c>
      <c r="I84" s="340">
        <v>242.3724</v>
      </c>
      <c r="J84" s="341">
        <v>197.87234042553192</v>
      </c>
      <c r="K84" s="341">
        <v>0.47542283133053487</v>
      </c>
      <c r="L84" s="342">
        <f>Tabela3521[[#This Row],[ICM    ]]*$H$2</f>
        <v>7.1313424699580228</v>
      </c>
      <c r="M84" s="340">
        <v>136.57579000000001</v>
      </c>
      <c r="N84" s="340">
        <v>210.11660000000001</v>
      </c>
      <c r="O84" s="341">
        <v>217.02127659574467</v>
      </c>
      <c r="P84" s="343">
        <v>1</v>
      </c>
      <c r="Q84" s="342">
        <f>Tabela3521[[#This Row],[ICM      ]]*$M$2</f>
        <v>15</v>
      </c>
      <c r="R84" s="344">
        <v>0.8</v>
      </c>
      <c r="S84" s="345">
        <v>1</v>
      </c>
      <c r="T84" s="344">
        <f t="shared" si="6"/>
        <v>15</v>
      </c>
      <c r="U84" s="346">
        <v>93.478260869565219</v>
      </c>
      <c r="V84" s="346">
        <v>1</v>
      </c>
      <c r="W84" s="346">
        <f t="shared" si="7"/>
        <v>15</v>
      </c>
      <c r="X84" s="347">
        <f t="shared" si="8"/>
        <v>100</v>
      </c>
      <c r="Y84" s="348">
        <f t="shared" si="9"/>
        <v>92.131342469958014</v>
      </c>
      <c r="Z84" s="348">
        <f t="shared" si="10"/>
        <v>0.92131342469958011</v>
      </c>
    </row>
    <row r="85" spans="1:26" s="349" customFormat="1" ht="18.75">
      <c r="A85" s="334">
        <v>90</v>
      </c>
      <c r="B85" s="370" t="s">
        <v>102</v>
      </c>
      <c r="C85" s="335">
        <v>29.590925000000002</v>
      </c>
      <c r="D85" s="336">
        <v>45.524500000000003</v>
      </c>
      <c r="E85" s="337">
        <v>64.285714285714292</v>
      </c>
      <c r="F85" s="335">
        <v>1</v>
      </c>
      <c r="G85" s="338">
        <f>Tabela3521[[#This Row],[ICM]]*$C$2</f>
        <v>40</v>
      </c>
      <c r="H85" s="339">
        <v>116.01317</v>
      </c>
      <c r="I85" s="340">
        <v>178.48179999999999</v>
      </c>
      <c r="J85" s="341">
        <v>173.07692307692309</v>
      </c>
      <c r="K85" s="341">
        <v>0.91347854238076143</v>
      </c>
      <c r="L85" s="342">
        <f>Tabela3521[[#This Row],[ICM    ]]*$H$2</f>
        <v>13.702178135711421</v>
      </c>
      <c r="M85" s="340">
        <v>122.80164000000001</v>
      </c>
      <c r="N85" s="340">
        <v>188.9256</v>
      </c>
      <c r="O85" s="341">
        <v>176.92307692307693</v>
      </c>
      <c r="P85" s="343">
        <v>0.81848450883880719</v>
      </c>
      <c r="Q85" s="342">
        <f>Tabela3521[[#This Row],[ICM      ]]*$M$2</f>
        <v>12.277267632582108</v>
      </c>
      <c r="R85" s="344">
        <v>0.61587301587301591</v>
      </c>
      <c r="S85" s="345">
        <v>0.7</v>
      </c>
      <c r="T85" s="344">
        <f t="shared" si="6"/>
        <v>10.5</v>
      </c>
      <c r="U85" s="346">
        <v>95.238095238095227</v>
      </c>
      <c r="V85" s="346">
        <v>1</v>
      </c>
      <c r="W85" s="346">
        <f t="shared" si="7"/>
        <v>15</v>
      </c>
      <c r="X85" s="347">
        <f t="shared" si="8"/>
        <v>100</v>
      </c>
      <c r="Y85" s="348">
        <f t="shared" si="9"/>
        <v>91.47944576829353</v>
      </c>
      <c r="Z85" s="348">
        <f t="shared" si="10"/>
        <v>0.91479445768293532</v>
      </c>
    </row>
    <row r="86" spans="1:26" s="349" customFormat="1" ht="18.75">
      <c r="A86" s="334">
        <v>91</v>
      </c>
      <c r="B86" s="370" t="s">
        <v>176</v>
      </c>
      <c r="C86" s="335">
        <v>46.399860000000004</v>
      </c>
      <c r="D86" s="336">
        <v>71.384399999999999</v>
      </c>
      <c r="E86" s="337">
        <v>64.92814572099384</v>
      </c>
      <c r="F86" s="335">
        <v>0.75</v>
      </c>
      <c r="G86" s="338">
        <f>Tabela3521[[#This Row],[ICM]]*$C$2</f>
        <v>30</v>
      </c>
      <c r="H86" s="339">
        <v>160.334395</v>
      </c>
      <c r="I86" s="340">
        <v>246.66829999999999</v>
      </c>
      <c r="J86" s="341">
        <v>259.84848484848487</v>
      </c>
      <c r="K86" s="341">
        <v>1</v>
      </c>
      <c r="L86" s="342">
        <f>Tabela3521[[#This Row],[ICM    ]]*$H$2</f>
        <v>15</v>
      </c>
      <c r="M86" s="340">
        <v>160.057365</v>
      </c>
      <c r="N86" s="340">
        <v>246.24209999999999</v>
      </c>
      <c r="O86" s="341">
        <v>236.79999999999998</v>
      </c>
      <c r="P86" s="343">
        <v>0.89044347586611461</v>
      </c>
      <c r="Q86" s="342">
        <f>Tabela3521[[#This Row],[ICM      ]]*$M$2</f>
        <v>13.35665213799172</v>
      </c>
      <c r="R86" s="344">
        <v>0</v>
      </c>
      <c r="S86" s="345">
        <v>0</v>
      </c>
      <c r="T86" s="344">
        <f t="shared" si="6"/>
        <v>0</v>
      </c>
      <c r="U86" s="346">
        <v>94.799054373522466</v>
      </c>
      <c r="V86" s="346">
        <v>1</v>
      </c>
      <c r="W86" s="346">
        <f t="shared" si="7"/>
        <v>15</v>
      </c>
      <c r="X86" s="347">
        <f t="shared" si="8"/>
        <v>100</v>
      </c>
      <c r="Y86" s="348">
        <f t="shared" si="9"/>
        <v>73.356652137991716</v>
      </c>
      <c r="Z86" s="348">
        <f t="shared" si="10"/>
        <v>0.73356652137991718</v>
      </c>
    </row>
    <row r="87" spans="1:26" s="349" customFormat="1" ht="18.75">
      <c r="A87" s="334">
        <v>92</v>
      </c>
      <c r="B87" s="370" t="s">
        <v>154</v>
      </c>
      <c r="C87" s="335">
        <v>37.6038</v>
      </c>
      <c r="D87" s="336">
        <v>57.851999999999997</v>
      </c>
      <c r="E87" s="337">
        <v>78.378378378378372</v>
      </c>
      <c r="F87" s="335">
        <v>1</v>
      </c>
      <c r="G87" s="338">
        <f>Tabela3521[[#This Row],[ICM]]*$C$2</f>
        <v>40</v>
      </c>
      <c r="H87" s="339">
        <v>119.33863500000001</v>
      </c>
      <c r="I87" s="340">
        <v>183.59790000000001</v>
      </c>
      <c r="J87" s="341">
        <v>169.09090909090907</v>
      </c>
      <c r="K87" s="341">
        <v>0.77424281293769948</v>
      </c>
      <c r="L87" s="342">
        <f>Tabela3521[[#This Row],[ICM    ]]*$H$2</f>
        <v>11.613642194065491</v>
      </c>
      <c r="M87" s="340">
        <v>122.290025</v>
      </c>
      <c r="N87" s="340">
        <v>188.13849999999999</v>
      </c>
      <c r="O87" s="341">
        <v>198.11320754716982</v>
      </c>
      <c r="P87" s="343">
        <v>1</v>
      </c>
      <c r="Q87" s="342">
        <f>Tabela3521[[#This Row],[ICM      ]]*$M$2</f>
        <v>15</v>
      </c>
      <c r="R87" s="344">
        <v>0.3</v>
      </c>
      <c r="S87" s="345">
        <v>0</v>
      </c>
      <c r="T87" s="344">
        <f t="shared" si="6"/>
        <v>0</v>
      </c>
      <c r="U87" s="346">
        <v>100</v>
      </c>
      <c r="V87" s="346">
        <v>1</v>
      </c>
      <c r="W87" s="346">
        <f t="shared" si="7"/>
        <v>15</v>
      </c>
      <c r="X87" s="347">
        <f t="shared" si="8"/>
        <v>100</v>
      </c>
      <c r="Y87" s="348">
        <f t="shared" si="9"/>
        <v>81.613642194065491</v>
      </c>
      <c r="Z87" s="348">
        <f t="shared" si="10"/>
        <v>0.81613642194065494</v>
      </c>
    </row>
    <row r="88" spans="1:26" s="349" customFormat="1" ht="18.75">
      <c r="A88" s="334">
        <v>93</v>
      </c>
      <c r="B88" s="370" t="s">
        <v>207</v>
      </c>
      <c r="C88" s="335">
        <v>42.245709999999995</v>
      </c>
      <c r="D88" s="336">
        <v>64.993399999999994</v>
      </c>
      <c r="E88" s="337">
        <v>63.012422360248443</v>
      </c>
      <c r="F88" s="335">
        <v>1</v>
      </c>
      <c r="G88" s="338">
        <f>Tabela3521[[#This Row],[ICM]]*$C$2</f>
        <v>40</v>
      </c>
      <c r="H88" s="339">
        <v>115.11786000000001</v>
      </c>
      <c r="I88" s="340">
        <v>177.1044</v>
      </c>
      <c r="J88" s="341">
        <v>123.33333333333334</v>
      </c>
      <c r="K88" s="341">
        <v>0.13253640763516294</v>
      </c>
      <c r="L88" s="342">
        <f>Tabela3521[[#This Row],[ICM    ]]*$H$2</f>
        <v>1.9880461145274442</v>
      </c>
      <c r="M88" s="340">
        <v>116.66232500000001</v>
      </c>
      <c r="N88" s="340">
        <v>179.48050000000001</v>
      </c>
      <c r="O88" s="341">
        <v>192.59259259259258</v>
      </c>
      <c r="P88" s="343">
        <v>1</v>
      </c>
      <c r="Q88" s="342">
        <f>Tabela3521[[#This Row],[ICM      ]]*$M$2</f>
        <v>15</v>
      </c>
      <c r="R88" s="344">
        <v>0.85947955390334574</v>
      </c>
      <c r="S88" s="345">
        <v>1</v>
      </c>
      <c r="T88" s="344">
        <f t="shared" si="6"/>
        <v>15</v>
      </c>
      <c r="U88" s="346">
        <v>95.294117647058812</v>
      </c>
      <c r="V88" s="346">
        <v>1</v>
      </c>
      <c r="W88" s="346">
        <f t="shared" si="7"/>
        <v>15</v>
      </c>
      <c r="X88" s="347">
        <f t="shared" si="8"/>
        <v>100</v>
      </c>
      <c r="Y88" s="348">
        <f t="shared" si="9"/>
        <v>86.988046114527435</v>
      </c>
      <c r="Z88" s="348">
        <f t="shared" si="10"/>
        <v>0.8698804611452744</v>
      </c>
    </row>
    <row r="89" spans="1:26" s="349" customFormat="1" ht="18.75">
      <c r="A89" s="334">
        <v>94</v>
      </c>
      <c r="B89" s="370" t="s">
        <v>84</v>
      </c>
      <c r="C89" s="335">
        <v>48.377745000000004</v>
      </c>
      <c r="D89" s="336">
        <v>74.427300000000002</v>
      </c>
      <c r="E89" s="337">
        <v>71.957402034244168</v>
      </c>
      <c r="F89" s="335">
        <v>0.7</v>
      </c>
      <c r="G89" s="338">
        <f>Tabela3521[[#This Row],[ICM]]*$C$2</f>
        <v>28</v>
      </c>
      <c r="H89" s="339">
        <v>154.25780500000002</v>
      </c>
      <c r="I89" s="340">
        <v>237.31970000000001</v>
      </c>
      <c r="J89" s="341">
        <v>238.29787234042556</v>
      </c>
      <c r="K89" s="341">
        <v>1</v>
      </c>
      <c r="L89" s="342">
        <f>Tabela3521[[#This Row],[ICM    ]]*$H$2</f>
        <v>15</v>
      </c>
      <c r="M89" s="340">
        <v>136.82987499999999</v>
      </c>
      <c r="N89" s="340">
        <v>210.50749999999999</v>
      </c>
      <c r="O89" s="341">
        <v>224.45652173913044</v>
      </c>
      <c r="P89" s="343">
        <v>1</v>
      </c>
      <c r="Q89" s="342">
        <f>Tabela3521[[#This Row],[ICM      ]]*$M$2</f>
        <v>15</v>
      </c>
      <c r="R89" s="344">
        <v>0</v>
      </c>
      <c r="S89" s="345">
        <v>0</v>
      </c>
      <c r="T89" s="344">
        <f t="shared" si="6"/>
        <v>0</v>
      </c>
      <c r="U89" s="346">
        <v>95.359628770301612</v>
      </c>
      <c r="V89" s="346">
        <v>1</v>
      </c>
      <c r="W89" s="346">
        <f t="shared" si="7"/>
        <v>15</v>
      </c>
      <c r="X89" s="347">
        <f t="shared" si="8"/>
        <v>100</v>
      </c>
      <c r="Y89" s="348">
        <f t="shared" si="9"/>
        <v>73</v>
      </c>
      <c r="Z89" s="348">
        <f t="shared" si="10"/>
        <v>0.73</v>
      </c>
    </row>
    <row r="90" spans="1:26" s="349" customFormat="1" ht="18.75">
      <c r="A90" s="334">
        <v>95</v>
      </c>
      <c r="B90" s="370" t="s">
        <v>111</v>
      </c>
      <c r="C90" s="335">
        <v>45.564870000000006</v>
      </c>
      <c r="D90" s="336">
        <v>70.099800000000002</v>
      </c>
      <c r="E90" s="337">
        <v>74.552071668533031</v>
      </c>
      <c r="F90" s="335">
        <v>1</v>
      </c>
      <c r="G90" s="338">
        <f>Tabela3521[[#This Row],[ICM]]*$C$2</f>
        <v>40</v>
      </c>
      <c r="H90" s="339">
        <v>167.43298000000001</v>
      </c>
      <c r="I90" s="340">
        <v>257.58920000000001</v>
      </c>
      <c r="J90" s="341">
        <v>234.14634146341461</v>
      </c>
      <c r="K90" s="341">
        <v>0.7399751394126175</v>
      </c>
      <c r="L90" s="342">
        <f>Tabela3521[[#This Row],[ICM    ]]*$H$2</f>
        <v>11.099627091189262</v>
      </c>
      <c r="M90" s="340">
        <v>155.76366000000002</v>
      </c>
      <c r="N90" s="340">
        <v>239.63640000000001</v>
      </c>
      <c r="O90" s="341">
        <v>246.2962962962963</v>
      </c>
      <c r="P90" s="343">
        <v>1</v>
      </c>
      <c r="Q90" s="342">
        <f>Tabela3521[[#This Row],[ICM      ]]*$M$2</f>
        <v>15</v>
      </c>
      <c r="R90" s="344">
        <v>0.41797235023041474</v>
      </c>
      <c r="S90" s="345">
        <v>0.5</v>
      </c>
      <c r="T90" s="344">
        <f t="shared" si="6"/>
        <v>7.5</v>
      </c>
      <c r="U90" s="346">
        <v>95.950704225352112</v>
      </c>
      <c r="V90" s="346">
        <v>1</v>
      </c>
      <c r="W90" s="346">
        <f t="shared" si="7"/>
        <v>15</v>
      </c>
      <c r="X90" s="347">
        <f t="shared" si="8"/>
        <v>100</v>
      </c>
      <c r="Y90" s="348">
        <f t="shared" si="9"/>
        <v>88.599627091189262</v>
      </c>
      <c r="Z90" s="348">
        <f t="shared" si="10"/>
        <v>0.88599627091189259</v>
      </c>
    </row>
    <row r="91" spans="1:26" s="349" customFormat="1" ht="18.75">
      <c r="A91" s="334">
        <v>96</v>
      </c>
      <c r="B91" s="370" t="s">
        <v>193</v>
      </c>
      <c r="C91" s="335">
        <v>42.592355000000005</v>
      </c>
      <c r="D91" s="336">
        <v>65.526700000000005</v>
      </c>
      <c r="E91" s="337">
        <v>64.943537962488719</v>
      </c>
      <c r="F91" s="335">
        <v>1</v>
      </c>
      <c r="G91" s="338">
        <f>Tabela3521[[#This Row],[ICM]]*$C$2</f>
        <v>40</v>
      </c>
      <c r="H91" s="339">
        <v>150.43353000000002</v>
      </c>
      <c r="I91" s="340">
        <v>231.43620000000001</v>
      </c>
      <c r="J91" s="341">
        <v>226.68810289389069</v>
      </c>
      <c r="K91" s="341">
        <v>0.94138344938371377</v>
      </c>
      <c r="L91" s="342">
        <f>Tabela3521[[#This Row],[ICM    ]]*$H$2</f>
        <v>14.120751740755706</v>
      </c>
      <c r="M91" s="340">
        <v>149.16421</v>
      </c>
      <c r="N91" s="340">
        <v>229.48339999999999</v>
      </c>
      <c r="O91" s="341">
        <v>222.03947368421052</v>
      </c>
      <c r="P91" s="343">
        <v>0.90732069987521702</v>
      </c>
      <c r="Q91" s="342">
        <f>Tabela3521[[#This Row],[ICM      ]]*$M$2</f>
        <v>13.609810498128255</v>
      </c>
      <c r="R91" s="344">
        <v>0.5</v>
      </c>
      <c r="S91" s="345">
        <v>0.6</v>
      </c>
      <c r="T91" s="344">
        <f t="shared" si="6"/>
        <v>9</v>
      </c>
      <c r="U91" s="346">
        <v>93.425076452599384</v>
      </c>
      <c r="V91" s="346">
        <v>1</v>
      </c>
      <c r="W91" s="346">
        <f t="shared" si="7"/>
        <v>15</v>
      </c>
      <c r="X91" s="347">
        <f t="shared" si="8"/>
        <v>100</v>
      </c>
      <c r="Y91" s="348">
        <f t="shared" si="9"/>
        <v>91.730562238883962</v>
      </c>
      <c r="Z91" s="348">
        <f t="shared" si="10"/>
        <v>0.91730562238883961</v>
      </c>
    </row>
    <row r="92" spans="1:26" s="349" customFormat="1" ht="18.75">
      <c r="A92" s="334">
        <v>97</v>
      </c>
      <c r="B92" s="370" t="s">
        <v>140</v>
      </c>
      <c r="C92" s="335">
        <v>48.866350000000004</v>
      </c>
      <c r="D92" s="336">
        <v>75.179000000000002</v>
      </c>
      <c r="E92" s="337">
        <v>61.843487394957982</v>
      </c>
      <c r="F92" s="335">
        <v>0.5</v>
      </c>
      <c r="G92" s="338">
        <f>Tabela3521[[#This Row],[ICM]]*$C$2</f>
        <v>20</v>
      </c>
      <c r="H92" s="339">
        <v>144.55506</v>
      </c>
      <c r="I92" s="340">
        <v>222.39240000000001</v>
      </c>
      <c r="J92" s="341">
        <v>203.92156862745097</v>
      </c>
      <c r="K92" s="341">
        <v>0.76269960699390493</v>
      </c>
      <c r="L92" s="342">
        <f>Tabela3521[[#This Row],[ICM    ]]*$H$2</f>
        <v>11.440494104908574</v>
      </c>
      <c r="M92" s="340">
        <v>128.99997500000001</v>
      </c>
      <c r="N92" s="340">
        <v>198.4615</v>
      </c>
      <c r="O92" s="341">
        <v>207.40740740740742</v>
      </c>
      <c r="P92" s="343">
        <v>1</v>
      </c>
      <c r="Q92" s="342">
        <f>Tabela3521[[#This Row],[ICM      ]]*$M$2</f>
        <v>15</v>
      </c>
      <c r="R92" s="344">
        <v>0.5</v>
      </c>
      <c r="S92" s="345">
        <v>0.6</v>
      </c>
      <c r="T92" s="344">
        <f t="shared" si="6"/>
        <v>9</v>
      </c>
      <c r="U92" s="346">
        <v>98.65771812080537</v>
      </c>
      <c r="V92" s="346">
        <v>1</v>
      </c>
      <c r="W92" s="346">
        <f t="shared" si="7"/>
        <v>15</v>
      </c>
      <c r="X92" s="347">
        <f t="shared" si="8"/>
        <v>100</v>
      </c>
      <c r="Y92" s="348">
        <f t="shared" si="9"/>
        <v>70.440494104908566</v>
      </c>
      <c r="Z92" s="348">
        <f t="shared" si="10"/>
        <v>0.70440494104908569</v>
      </c>
    </row>
    <row r="93" spans="1:26" s="349" customFormat="1" ht="18.75">
      <c r="A93" s="334">
        <v>98</v>
      </c>
      <c r="B93" s="370" t="s">
        <v>110</v>
      </c>
      <c r="C93" s="335">
        <v>42.311425</v>
      </c>
      <c r="D93" s="336">
        <v>65.094499999999996</v>
      </c>
      <c r="E93" s="337">
        <v>67.963069229823333</v>
      </c>
      <c r="F93" s="335">
        <v>1</v>
      </c>
      <c r="G93" s="338">
        <f>Tabela3521[[#This Row],[ICM]]*$C$2</f>
        <v>40</v>
      </c>
      <c r="H93" s="339">
        <v>166.20077499999999</v>
      </c>
      <c r="I93" s="340">
        <v>255.6935</v>
      </c>
      <c r="J93" s="341">
        <v>253.90070921985819</v>
      </c>
      <c r="K93" s="341">
        <v>0.97996718973367036</v>
      </c>
      <c r="L93" s="342">
        <f>Tabela3521[[#This Row],[ICM    ]]*$H$2</f>
        <v>14.699507846005055</v>
      </c>
      <c r="M93" s="340">
        <v>166.22866000000002</v>
      </c>
      <c r="N93" s="340">
        <v>255.7364</v>
      </c>
      <c r="O93" s="341">
        <v>263.00366300366301</v>
      </c>
      <c r="P93" s="343">
        <v>1</v>
      </c>
      <c r="Q93" s="342">
        <f>Tabela3521[[#This Row],[ICM      ]]*$M$2</f>
        <v>15</v>
      </c>
      <c r="R93" s="344">
        <v>0.45748031496062991</v>
      </c>
      <c r="S93" s="345">
        <v>0.5</v>
      </c>
      <c r="T93" s="344">
        <f t="shared" si="6"/>
        <v>7.5</v>
      </c>
      <c r="U93" s="346">
        <v>97.26651480637814</v>
      </c>
      <c r="V93" s="346">
        <v>1</v>
      </c>
      <c r="W93" s="346">
        <f t="shared" si="7"/>
        <v>15</v>
      </c>
      <c r="X93" s="347">
        <f t="shared" si="8"/>
        <v>100</v>
      </c>
      <c r="Y93" s="348">
        <f t="shared" si="9"/>
        <v>92.199507846005048</v>
      </c>
      <c r="Z93" s="348">
        <f t="shared" si="10"/>
        <v>0.92199507846005047</v>
      </c>
    </row>
    <row r="94" spans="1:26" s="349" customFormat="1" ht="18.75">
      <c r="A94" s="334">
        <v>99</v>
      </c>
      <c r="B94" s="370" t="s">
        <v>204</v>
      </c>
      <c r="C94" s="335">
        <v>44.004935000000003</v>
      </c>
      <c r="D94" s="336">
        <v>67.6999</v>
      </c>
      <c r="E94" s="337">
        <v>64.614436378578276</v>
      </c>
      <c r="F94" s="335">
        <v>1</v>
      </c>
      <c r="G94" s="338">
        <f>Tabela3521[[#This Row],[ICM]]*$C$2</f>
        <v>40</v>
      </c>
      <c r="H94" s="339">
        <v>130.63140999999999</v>
      </c>
      <c r="I94" s="340">
        <v>200.97139999999999</v>
      </c>
      <c r="J94" s="341">
        <v>203.27868852459017</v>
      </c>
      <c r="K94" s="341">
        <v>1</v>
      </c>
      <c r="L94" s="342">
        <f>Tabela3521[[#This Row],[ICM    ]]*$H$2</f>
        <v>15</v>
      </c>
      <c r="M94" s="340">
        <v>133.02250000000001</v>
      </c>
      <c r="N94" s="340">
        <v>204.65</v>
      </c>
      <c r="O94" s="341">
        <v>205</v>
      </c>
      <c r="P94" s="343">
        <v>1</v>
      </c>
      <c r="Q94" s="342">
        <f>Tabela3521[[#This Row],[ICM      ]]*$M$2</f>
        <v>15</v>
      </c>
      <c r="R94" s="344">
        <v>0.5</v>
      </c>
      <c r="S94" s="345">
        <v>0.6</v>
      </c>
      <c r="T94" s="344">
        <f t="shared" si="6"/>
        <v>9</v>
      </c>
      <c r="U94" s="346">
        <v>92.619926199261997</v>
      </c>
      <c r="V94" s="346">
        <v>1</v>
      </c>
      <c r="W94" s="346">
        <f t="shared" si="7"/>
        <v>15</v>
      </c>
      <c r="X94" s="347">
        <f t="shared" si="8"/>
        <v>100</v>
      </c>
      <c r="Y94" s="348">
        <f t="shared" si="9"/>
        <v>94</v>
      </c>
      <c r="Z94" s="348">
        <f t="shared" si="10"/>
        <v>0.94</v>
      </c>
    </row>
    <row r="95" spans="1:26" s="349" customFormat="1" ht="18.75">
      <c r="A95" s="334">
        <v>100</v>
      </c>
      <c r="B95" s="370" t="s">
        <v>183</v>
      </c>
      <c r="C95" s="335">
        <v>40.857115</v>
      </c>
      <c r="D95" s="336">
        <v>62.857100000000003</v>
      </c>
      <c r="E95" s="337">
        <v>67.62932749701551</v>
      </c>
      <c r="F95" s="335">
        <v>1</v>
      </c>
      <c r="G95" s="338">
        <f>Tabela3521[[#This Row],[ICM]]*$C$2</f>
        <v>40</v>
      </c>
      <c r="H95" s="339">
        <v>178.21836500000001</v>
      </c>
      <c r="I95" s="340">
        <v>274.18209999999999</v>
      </c>
      <c r="J95" s="341">
        <v>266.45161290322579</v>
      </c>
      <c r="K95" s="341">
        <v>0.91944366174603143</v>
      </c>
      <c r="L95" s="342">
        <f>Tabela3521[[#This Row],[ICM    ]]*$H$2</f>
        <v>13.791654926190471</v>
      </c>
      <c r="M95" s="340">
        <v>165.40953000000002</v>
      </c>
      <c r="N95" s="340">
        <v>254.47620000000001</v>
      </c>
      <c r="O95" s="341">
        <v>265.80645161290323</v>
      </c>
      <c r="P95" s="343">
        <v>1</v>
      </c>
      <c r="Q95" s="342">
        <f>Tabela3521[[#This Row],[ICM      ]]*$M$2</f>
        <v>15</v>
      </c>
      <c r="R95" s="344">
        <v>0.49293029402048233</v>
      </c>
      <c r="S95" s="345">
        <v>0.5</v>
      </c>
      <c r="T95" s="344">
        <f t="shared" si="6"/>
        <v>7.5</v>
      </c>
      <c r="U95" s="346">
        <v>92.750533049040513</v>
      </c>
      <c r="V95" s="346">
        <v>1</v>
      </c>
      <c r="W95" s="346">
        <f t="shared" si="7"/>
        <v>15</v>
      </c>
      <c r="X95" s="347">
        <f t="shared" si="8"/>
        <v>100</v>
      </c>
      <c r="Y95" s="348">
        <f t="shared" si="9"/>
        <v>91.291654926190475</v>
      </c>
      <c r="Z95" s="348">
        <f t="shared" si="10"/>
        <v>0.9129165492619048</v>
      </c>
    </row>
    <row r="96" spans="1:26" s="349" customFormat="1" ht="18.75">
      <c r="A96" s="334">
        <v>101</v>
      </c>
      <c r="B96" s="370" t="s">
        <v>137</v>
      </c>
      <c r="C96" s="335">
        <v>42.310124999999999</v>
      </c>
      <c r="D96" s="336">
        <v>65.092500000000001</v>
      </c>
      <c r="E96" s="337">
        <v>65.779681361850734</v>
      </c>
      <c r="F96" s="335">
        <v>1</v>
      </c>
      <c r="G96" s="338">
        <f>Tabela3521[[#This Row],[ICM]]*$C$2</f>
        <v>40</v>
      </c>
      <c r="H96" s="339">
        <v>172.43967000000004</v>
      </c>
      <c r="I96" s="340">
        <v>265.29180000000002</v>
      </c>
      <c r="J96" s="341">
        <v>231.7829457364341</v>
      </c>
      <c r="K96" s="341">
        <v>0.63911593343560424</v>
      </c>
      <c r="L96" s="342">
        <f>Tabela3521[[#This Row],[ICM    ]]*$H$2</f>
        <v>9.5867390015340632</v>
      </c>
      <c r="M96" s="340">
        <v>165.631505</v>
      </c>
      <c r="N96" s="340">
        <v>254.8177</v>
      </c>
      <c r="O96" s="341">
        <v>242.51968503937007</v>
      </c>
      <c r="P96" s="343">
        <v>0.86210853640936325</v>
      </c>
      <c r="Q96" s="342">
        <f>Tabela3521[[#This Row],[ICM      ]]*$M$2</f>
        <v>12.93162804614045</v>
      </c>
      <c r="R96" s="344">
        <v>0</v>
      </c>
      <c r="S96" s="345">
        <v>0</v>
      </c>
      <c r="T96" s="344">
        <f t="shared" si="6"/>
        <v>0</v>
      </c>
      <c r="U96" s="346">
        <v>92.549668874172184</v>
      </c>
      <c r="V96" s="346">
        <v>1</v>
      </c>
      <c r="W96" s="346">
        <f t="shared" si="7"/>
        <v>15</v>
      </c>
      <c r="X96" s="347">
        <f t="shared" si="8"/>
        <v>100</v>
      </c>
      <c r="Y96" s="348">
        <f t="shared" si="9"/>
        <v>77.518367047674516</v>
      </c>
      <c r="Z96" s="348">
        <f t="shared" si="10"/>
        <v>0.77518367047674519</v>
      </c>
    </row>
    <row r="97" spans="1:26" s="349" customFormat="1" ht="18.75">
      <c r="A97" s="334">
        <v>102</v>
      </c>
      <c r="B97" s="370" t="s">
        <v>219</v>
      </c>
      <c r="C97" s="335">
        <v>36.636339999999997</v>
      </c>
      <c r="D97" s="336">
        <v>56.363599999999998</v>
      </c>
      <c r="E97" s="337">
        <v>58.164893617021285</v>
      </c>
      <c r="F97" s="335">
        <v>1</v>
      </c>
      <c r="G97" s="338">
        <f>Tabela3521[[#This Row],[ICM]]*$C$2</f>
        <v>40</v>
      </c>
      <c r="H97" s="339">
        <v>123.96137</v>
      </c>
      <c r="I97" s="340">
        <v>190.7098</v>
      </c>
      <c r="J97" s="341">
        <v>179.41176470588235</v>
      </c>
      <c r="K97" s="341">
        <v>0.8307370631171751</v>
      </c>
      <c r="L97" s="342">
        <f>Tabela3521[[#This Row],[ICM    ]]*$H$2</f>
        <v>12.461055946757627</v>
      </c>
      <c r="M97" s="340">
        <v>123.89793</v>
      </c>
      <c r="N97" s="340">
        <v>190.6122</v>
      </c>
      <c r="O97" s="341">
        <v>194.02985074626866</v>
      </c>
      <c r="P97" s="343">
        <v>1</v>
      </c>
      <c r="Q97" s="342">
        <f>Tabela3521[[#This Row],[ICM      ]]*$M$2</f>
        <v>15</v>
      </c>
      <c r="R97" s="344">
        <v>0</v>
      </c>
      <c r="S97" s="345">
        <v>0</v>
      </c>
      <c r="T97" s="344">
        <f t="shared" si="6"/>
        <v>0</v>
      </c>
      <c r="U97" s="346">
        <v>96.212121212121218</v>
      </c>
      <c r="V97" s="346">
        <v>1</v>
      </c>
      <c r="W97" s="346">
        <f t="shared" si="7"/>
        <v>15</v>
      </c>
      <c r="X97" s="347">
        <f t="shared" si="8"/>
        <v>100</v>
      </c>
      <c r="Y97" s="348">
        <f t="shared" si="9"/>
        <v>82.461055946757625</v>
      </c>
      <c r="Z97" s="348">
        <f t="shared" si="10"/>
        <v>0.82461055946757622</v>
      </c>
    </row>
    <row r="98" spans="1:26" s="349" customFormat="1" ht="18.75">
      <c r="A98" s="334">
        <v>103</v>
      </c>
      <c r="B98" s="370" t="s">
        <v>195</v>
      </c>
      <c r="C98" s="335">
        <v>45.323590000000003</v>
      </c>
      <c r="D98" s="336">
        <v>69.7286</v>
      </c>
      <c r="E98" s="337">
        <v>74.673913043478251</v>
      </c>
      <c r="F98" s="335">
        <v>1</v>
      </c>
      <c r="G98" s="338">
        <f>Tabela3521[[#This Row],[ICM]]*$C$2</f>
        <v>40</v>
      </c>
      <c r="H98" s="339">
        <v>130.59403500000002</v>
      </c>
      <c r="I98" s="340">
        <v>200.91390000000001</v>
      </c>
      <c r="J98" s="341">
        <v>189.11917098445596</v>
      </c>
      <c r="K98" s="341">
        <v>0.83227031201575752</v>
      </c>
      <c r="L98" s="342">
        <f>Tabela3521[[#This Row],[ICM    ]]*$H$2</f>
        <v>12.484054680236362</v>
      </c>
      <c r="M98" s="340">
        <v>128.55725999999999</v>
      </c>
      <c r="N98" s="340">
        <v>197.78039999999999</v>
      </c>
      <c r="O98" s="341">
        <v>202.10526315789474</v>
      </c>
      <c r="P98" s="343">
        <v>1</v>
      </c>
      <c r="Q98" s="342">
        <f>Tabela3521[[#This Row],[ICM      ]]*$M$2</f>
        <v>15</v>
      </c>
      <c r="R98" s="344">
        <v>0.49139784946236559</v>
      </c>
      <c r="S98" s="345">
        <v>0.5</v>
      </c>
      <c r="T98" s="344">
        <f t="shared" si="6"/>
        <v>7.5</v>
      </c>
      <c r="U98" s="346">
        <v>94.885361552028215</v>
      </c>
      <c r="V98" s="346">
        <v>1</v>
      </c>
      <c r="W98" s="346">
        <f t="shared" si="7"/>
        <v>15</v>
      </c>
      <c r="X98" s="347">
        <f t="shared" si="8"/>
        <v>100</v>
      </c>
      <c r="Y98" s="348">
        <f t="shared" si="9"/>
        <v>89.984054680236369</v>
      </c>
      <c r="Z98" s="348">
        <f t="shared" si="10"/>
        <v>0.89984054680236369</v>
      </c>
    </row>
    <row r="99" spans="1:26" s="349" customFormat="1" ht="18.75">
      <c r="A99" s="334">
        <v>104</v>
      </c>
      <c r="B99" s="370" t="s">
        <v>136</v>
      </c>
      <c r="C99" s="335">
        <v>44.511220000000009</v>
      </c>
      <c r="D99" s="336">
        <v>68.478800000000007</v>
      </c>
      <c r="E99" s="337">
        <v>74.600578390935382</v>
      </c>
      <c r="F99" s="335">
        <v>1</v>
      </c>
      <c r="G99" s="338">
        <f>Tabela3521[[#This Row],[ICM]]*$C$2</f>
        <v>40</v>
      </c>
      <c r="H99" s="339">
        <v>172.50798500000002</v>
      </c>
      <c r="I99" s="340">
        <v>265.39690000000002</v>
      </c>
      <c r="J99" s="341">
        <v>261.81818181818181</v>
      </c>
      <c r="K99" s="341">
        <v>0.96147314045149301</v>
      </c>
      <c r="L99" s="342">
        <f>Tabela3521[[#This Row],[ICM    ]]*$H$2</f>
        <v>14.422097106772394</v>
      </c>
      <c r="M99" s="340">
        <v>161.390255</v>
      </c>
      <c r="N99" s="340">
        <v>248.2927</v>
      </c>
      <c r="O99" s="341">
        <v>288.67924528301887</v>
      </c>
      <c r="P99" s="343">
        <v>1</v>
      </c>
      <c r="Q99" s="342">
        <f>Tabela3521[[#This Row],[ICM      ]]*$M$2</f>
        <v>15</v>
      </c>
      <c r="R99" s="344">
        <v>0.98663077613279504</v>
      </c>
      <c r="S99" s="345">
        <v>1</v>
      </c>
      <c r="T99" s="344">
        <f t="shared" si="6"/>
        <v>15</v>
      </c>
      <c r="U99" s="346">
        <v>95.792880258899672</v>
      </c>
      <c r="V99" s="346">
        <v>1</v>
      </c>
      <c r="W99" s="346">
        <f t="shared" si="7"/>
        <v>15</v>
      </c>
      <c r="X99" s="347">
        <f t="shared" si="8"/>
        <v>100</v>
      </c>
      <c r="Y99" s="348">
        <f t="shared" si="9"/>
        <v>99.422097106772398</v>
      </c>
      <c r="Z99" s="348">
        <f t="shared" si="10"/>
        <v>0.994220971067724</v>
      </c>
    </row>
    <row r="100" spans="1:26" s="349" customFormat="1" ht="18.75">
      <c r="A100" s="334">
        <v>107</v>
      </c>
      <c r="B100" s="370" t="s">
        <v>156</v>
      </c>
      <c r="C100" s="335">
        <v>43.003675000000001</v>
      </c>
      <c r="D100" s="336">
        <v>66.159499999999994</v>
      </c>
      <c r="E100" s="337">
        <v>64.957430053045272</v>
      </c>
      <c r="F100" s="335">
        <v>1</v>
      </c>
      <c r="G100" s="338">
        <f>Tabela3521[[#This Row],[ICM]]*$C$2</f>
        <v>40</v>
      </c>
      <c r="H100" s="339">
        <v>161.68210500000001</v>
      </c>
      <c r="I100" s="340">
        <v>248.74170000000001</v>
      </c>
      <c r="J100" s="341">
        <v>241.26984126984127</v>
      </c>
      <c r="K100" s="341">
        <v>0.91417535620101675</v>
      </c>
      <c r="L100" s="342">
        <f>Tabela3521[[#This Row],[ICM    ]]*$H$2</f>
        <v>13.712630343015251</v>
      </c>
      <c r="M100" s="340">
        <v>140.42950999999999</v>
      </c>
      <c r="N100" s="340">
        <v>216.0454</v>
      </c>
      <c r="O100" s="341">
        <v>197.54098360655738</v>
      </c>
      <c r="P100" s="343">
        <v>0.75528402306125575</v>
      </c>
      <c r="Q100" s="342">
        <f>Tabela3521[[#This Row],[ICM      ]]*$M$2</f>
        <v>11.329260345918836</v>
      </c>
      <c r="R100" s="344">
        <v>0</v>
      </c>
      <c r="S100" s="345">
        <v>0</v>
      </c>
      <c r="T100" s="344">
        <f t="shared" si="6"/>
        <v>0</v>
      </c>
      <c r="U100" s="346">
        <v>85.177453027139876</v>
      </c>
      <c r="V100" s="346">
        <v>0.9</v>
      </c>
      <c r="W100" s="346">
        <f t="shared" si="7"/>
        <v>13.5</v>
      </c>
      <c r="X100" s="347">
        <f t="shared" si="8"/>
        <v>100</v>
      </c>
      <c r="Y100" s="348">
        <f t="shared" si="9"/>
        <v>78.541890688934089</v>
      </c>
      <c r="Z100" s="348">
        <f t="shared" si="10"/>
        <v>0.78541890688934091</v>
      </c>
    </row>
    <row r="101" spans="1:26" s="349" customFormat="1" ht="18.75">
      <c r="A101" s="334">
        <v>108</v>
      </c>
      <c r="B101" s="370" t="s">
        <v>71</v>
      </c>
      <c r="C101" s="335">
        <v>49.192000000000007</v>
      </c>
      <c r="D101" s="336">
        <v>75.680000000000007</v>
      </c>
      <c r="E101" s="337">
        <v>68.31162860319904</v>
      </c>
      <c r="F101" s="335">
        <v>0.75</v>
      </c>
      <c r="G101" s="338">
        <f>Tabela3521[[#This Row],[ICM]]*$C$2</f>
        <v>30</v>
      </c>
      <c r="H101" s="339">
        <v>130.22223500000001</v>
      </c>
      <c r="I101" s="340">
        <v>200.34190000000001</v>
      </c>
      <c r="J101" s="341">
        <v>194.73684210526318</v>
      </c>
      <c r="K101" s="341">
        <v>0.92006439427888265</v>
      </c>
      <c r="L101" s="342">
        <f>Tabela3521[[#This Row],[ICM    ]]*$H$2</f>
        <v>13.800965914183239</v>
      </c>
      <c r="M101" s="340">
        <v>131.40224499999999</v>
      </c>
      <c r="N101" s="340">
        <v>202.15729999999999</v>
      </c>
      <c r="O101" s="341">
        <v>202.16216216216216</v>
      </c>
      <c r="P101" s="343">
        <v>1</v>
      </c>
      <c r="Q101" s="342">
        <f>Tabela3521[[#This Row],[ICM      ]]*$M$2</f>
        <v>15</v>
      </c>
      <c r="R101" s="344">
        <v>0.80065801703638884</v>
      </c>
      <c r="S101" s="345">
        <v>1</v>
      </c>
      <c r="T101" s="344">
        <f t="shared" si="6"/>
        <v>15</v>
      </c>
      <c r="U101" s="346">
        <v>90.158730158730165</v>
      </c>
      <c r="V101" s="346">
        <v>1</v>
      </c>
      <c r="W101" s="346">
        <f t="shared" si="7"/>
        <v>15</v>
      </c>
      <c r="X101" s="347">
        <f t="shared" si="8"/>
        <v>100</v>
      </c>
      <c r="Y101" s="348">
        <f t="shared" si="9"/>
        <v>88.800965914183237</v>
      </c>
      <c r="Z101" s="348">
        <f t="shared" si="10"/>
        <v>0.88800965914183239</v>
      </c>
    </row>
    <row r="102" spans="1:26" s="349" customFormat="1" ht="18.75">
      <c r="A102" s="334">
        <v>110</v>
      </c>
      <c r="B102" s="370" t="s">
        <v>129</v>
      </c>
      <c r="C102" s="335">
        <v>44.754775000000002</v>
      </c>
      <c r="D102" s="336">
        <v>68.853499999999997</v>
      </c>
      <c r="E102" s="337">
        <v>66.250000000000014</v>
      </c>
      <c r="F102" s="335">
        <v>1</v>
      </c>
      <c r="G102" s="338">
        <f>Tabela3521[[#This Row],[ICM]]*$C$2</f>
        <v>40</v>
      </c>
      <c r="H102" s="339">
        <v>176.46187</v>
      </c>
      <c r="I102" s="340">
        <v>271.47980000000001</v>
      </c>
      <c r="J102" s="341">
        <v>259.57446808510639</v>
      </c>
      <c r="K102" s="341">
        <v>0.87470436458788758</v>
      </c>
      <c r="L102" s="342">
        <f>Tabela3521[[#This Row],[ICM    ]]*$H$2</f>
        <v>13.120565468818313</v>
      </c>
      <c r="M102" s="340">
        <v>165.36013000000003</v>
      </c>
      <c r="N102" s="340">
        <v>254.40020000000001</v>
      </c>
      <c r="O102" s="341">
        <v>250.73529411764707</v>
      </c>
      <c r="P102" s="343">
        <v>0.95883981355413417</v>
      </c>
      <c r="Q102" s="342">
        <f>Tabela3521[[#This Row],[ICM      ]]*$M$2</f>
        <v>14.382597203312013</v>
      </c>
      <c r="R102" s="344">
        <v>0</v>
      </c>
      <c r="S102" s="345">
        <v>0</v>
      </c>
      <c r="T102" s="344">
        <f t="shared" si="6"/>
        <v>0</v>
      </c>
      <c r="U102" s="346">
        <v>88.059701492537314</v>
      </c>
      <c r="V102" s="346">
        <v>0.9</v>
      </c>
      <c r="W102" s="346">
        <f t="shared" si="7"/>
        <v>13.5</v>
      </c>
      <c r="X102" s="347">
        <f t="shared" si="8"/>
        <v>100</v>
      </c>
      <c r="Y102" s="348">
        <f t="shared" si="9"/>
        <v>81.00316267213033</v>
      </c>
      <c r="Z102" s="348">
        <f t="shared" si="10"/>
        <v>0.81003162672130324</v>
      </c>
    </row>
    <row r="103" spans="1:26" s="349" customFormat="1" ht="18.75">
      <c r="A103" s="334">
        <v>115</v>
      </c>
      <c r="B103" s="370" t="s">
        <v>23</v>
      </c>
      <c r="C103" s="335">
        <v>54.277144999999997</v>
      </c>
      <c r="D103" s="336">
        <v>83.503299999999996</v>
      </c>
      <c r="E103" s="337">
        <v>72.6388888888889</v>
      </c>
      <c r="F103" s="335">
        <v>0.85</v>
      </c>
      <c r="G103" s="338">
        <f>Tabela3521[[#This Row],[ICM]]*$C$2</f>
        <v>34</v>
      </c>
      <c r="H103" s="339">
        <v>184.95568</v>
      </c>
      <c r="I103" s="340">
        <v>284.54719999999998</v>
      </c>
      <c r="J103" s="341">
        <v>257.06521739130432</v>
      </c>
      <c r="K103" s="341">
        <v>0.72405298554841147</v>
      </c>
      <c r="L103" s="342">
        <f>Tabela3521[[#This Row],[ICM    ]]*$H$2</f>
        <v>10.860794783226172</v>
      </c>
      <c r="M103" s="340">
        <v>164.98371500000002</v>
      </c>
      <c r="N103" s="340">
        <v>253.8211</v>
      </c>
      <c r="O103" s="341">
        <v>245.60439560439562</v>
      </c>
      <c r="P103" s="343">
        <v>0.90750848423099817</v>
      </c>
      <c r="Q103" s="342">
        <f>Tabela3521[[#This Row],[ICM      ]]*$M$2</f>
        <v>13.612627263464972</v>
      </c>
      <c r="R103" s="344">
        <v>0.80804769001490306</v>
      </c>
      <c r="S103" s="345">
        <v>1</v>
      </c>
      <c r="T103" s="344">
        <f t="shared" si="6"/>
        <v>15</v>
      </c>
      <c r="U103" s="346">
        <v>88.829787234042556</v>
      </c>
      <c r="V103" s="346">
        <v>0.9</v>
      </c>
      <c r="W103" s="346">
        <f t="shared" si="7"/>
        <v>13.5</v>
      </c>
      <c r="X103" s="347">
        <f t="shared" si="8"/>
        <v>100</v>
      </c>
      <c r="Y103" s="348">
        <f t="shared" si="9"/>
        <v>86.973422046691141</v>
      </c>
      <c r="Z103" s="348">
        <f t="shared" si="10"/>
        <v>0.8697342204669114</v>
      </c>
    </row>
    <row r="104" spans="1:26" s="349" customFormat="1" ht="18.75">
      <c r="A104" s="334">
        <v>116</v>
      </c>
      <c r="B104" s="370" t="s">
        <v>121</v>
      </c>
      <c r="C104" s="335">
        <v>42.840914999999995</v>
      </c>
      <c r="D104" s="336">
        <v>65.909099999999995</v>
      </c>
      <c r="E104" s="337">
        <v>75.520833333333329</v>
      </c>
      <c r="F104" s="335">
        <v>1</v>
      </c>
      <c r="G104" s="338">
        <f>Tabela3521[[#This Row],[ICM]]*$C$2</f>
        <v>40</v>
      </c>
      <c r="H104" s="339">
        <v>161.181995</v>
      </c>
      <c r="I104" s="340">
        <v>247.97229999999999</v>
      </c>
      <c r="J104" s="341">
        <v>261.76470588235293</v>
      </c>
      <c r="K104" s="341">
        <v>1</v>
      </c>
      <c r="L104" s="342">
        <f>Tabela3521[[#This Row],[ICM    ]]*$H$2</f>
        <v>15</v>
      </c>
      <c r="M104" s="340">
        <v>145.30373</v>
      </c>
      <c r="N104" s="340">
        <v>223.54419999999999</v>
      </c>
      <c r="O104" s="341">
        <v>261.76470588235293</v>
      </c>
      <c r="P104" s="343">
        <v>1</v>
      </c>
      <c r="Q104" s="342">
        <f>Tabela3521[[#This Row],[ICM      ]]*$M$2</f>
        <v>15</v>
      </c>
      <c r="R104" s="344">
        <v>0.35050505050505049</v>
      </c>
      <c r="S104" s="345">
        <v>0</v>
      </c>
      <c r="T104" s="344">
        <f t="shared" si="6"/>
        <v>0</v>
      </c>
      <c r="U104" s="346">
        <v>57.512953367875653</v>
      </c>
      <c r="V104" s="346">
        <v>0.6</v>
      </c>
      <c r="W104" s="346">
        <f t="shared" si="7"/>
        <v>9</v>
      </c>
      <c r="X104" s="347">
        <f t="shared" si="8"/>
        <v>100</v>
      </c>
      <c r="Y104" s="348">
        <f t="shared" si="9"/>
        <v>79</v>
      </c>
      <c r="Z104" s="348">
        <f t="shared" si="10"/>
        <v>0.79</v>
      </c>
    </row>
    <row r="105" spans="1:26" s="349" customFormat="1" ht="18.75">
      <c r="A105" s="334">
        <v>117</v>
      </c>
      <c r="B105" s="370" t="s">
        <v>53</v>
      </c>
      <c r="C105" s="335">
        <v>48.812204999999999</v>
      </c>
      <c r="D105" s="336">
        <v>75.095699999999994</v>
      </c>
      <c r="E105" s="337">
        <v>72.852382618653778</v>
      </c>
      <c r="F105" s="335">
        <v>0.85</v>
      </c>
      <c r="G105" s="338">
        <f>Tabela3521[[#This Row],[ICM]]*$C$2</f>
        <v>34</v>
      </c>
      <c r="H105" s="339">
        <v>169.47391500000001</v>
      </c>
      <c r="I105" s="340">
        <v>260.72910000000002</v>
      </c>
      <c r="J105" s="341">
        <v>245.94594594594594</v>
      </c>
      <c r="K105" s="341">
        <v>0.83800203731925937</v>
      </c>
      <c r="L105" s="342">
        <f>Tabela3521[[#This Row],[ICM    ]]*$H$2</f>
        <v>12.57003055978889</v>
      </c>
      <c r="M105" s="340">
        <v>150.02273000000002</v>
      </c>
      <c r="N105" s="340">
        <v>230.80420000000001</v>
      </c>
      <c r="O105" s="341">
        <v>239.72602739726028</v>
      </c>
      <c r="P105" s="343">
        <v>1</v>
      </c>
      <c r="Q105" s="342">
        <f>Tabela3521[[#This Row],[ICM      ]]*$M$2</f>
        <v>15</v>
      </c>
      <c r="R105" s="344">
        <v>0</v>
      </c>
      <c r="S105" s="345">
        <v>0</v>
      </c>
      <c r="T105" s="344">
        <f t="shared" si="6"/>
        <v>0</v>
      </c>
      <c r="U105" s="346">
        <v>93.170731707317074</v>
      </c>
      <c r="V105" s="346">
        <v>1</v>
      </c>
      <c r="W105" s="346">
        <f t="shared" si="7"/>
        <v>15</v>
      </c>
      <c r="X105" s="347">
        <f t="shared" si="8"/>
        <v>100</v>
      </c>
      <c r="Y105" s="348">
        <f t="shared" si="9"/>
        <v>76.57003055978889</v>
      </c>
      <c r="Z105" s="348">
        <f t="shared" si="10"/>
        <v>0.76570030559788893</v>
      </c>
    </row>
    <row r="106" spans="1:26" s="349" customFormat="1" ht="18.75">
      <c r="A106" s="334">
        <v>118</v>
      </c>
      <c r="B106" s="370" t="s">
        <v>49</v>
      </c>
      <c r="C106" s="335">
        <v>48.768460000000005</v>
      </c>
      <c r="D106" s="336">
        <v>75.028400000000005</v>
      </c>
      <c r="E106" s="337">
        <v>72.432495344506506</v>
      </c>
      <c r="F106" s="335">
        <v>0.85</v>
      </c>
      <c r="G106" s="338">
        <f>Tabela3521[[#This Row],[ICM]]*$C$2</f>
        <v>34</v>
      </c>
      <c r="H106" s="339">
        <v>143.23855</v>
      </c>
      <c r="I106" s="340">
        <v>220.36699999999999</v>
      </c>
      <c r="J106" s="341">
        <v>225</v>
      </c>
      <c r="K106" s="341">
        <v>1</v>
      </c>
      <c r="L106" s="342">
        <f>Tabela3521[[#This Row],[ICM    ]]*$H$2</f>
        <v>15</v>
      </c>
      <c r="M106" s="340">
        <v>122.64258500000001</v>
      </c>
      <c r="N106" s="340">
        <v>188.68090000000001</v>
      </c>
      <c r="O106" s="341">
        <v>214.28571428571428</v>
      </c>
      <c r="P106" s="343">
        <v>1</v>
      </c>
      <c r="Q106" s="342">
        <f>Tabela3521[[#This Row],[ICM      ]]*$M$2</f>
        <v>15</v>
      </c>
      <c r="R106" s="344">
        <v>0</v>
      </c>
      <c r="S106" s="345">
        <v>0</v>
      </c>
      <c r="T106" s="344">
        <f t="shared" si="6"/>
        <v>0</v>
      </c>
      <c r="U106" s="346">
        <v>75.844594594594597</v>
      </c>
      <c r="V106" s="346">
        <v>0.8</v>
      </c>
      <c r="W106" s="346">
        <f t="shared" si="7"/>
        <v>12</v>
      </c>
      <c r="X106" s="347">
        <f t="shared" si="8"/>
        <v>100</v>
      </c>
      <c r="Y106" s="348">
        <f t="shared" si="9"/>
        <v>76</v>
      </c>
      <c r="Z106" s="348">
        <f t="shared" si="10"/>
        <v>0.76</v>
      </c>
    </row>
    <row r="107" spans="1:26" s="349" customFormat="1" ht="18.75">
      <c r="A107" s="334">
        <v>122</v>
      </c>
      <c r="B107" s="370" t="s">
        <v>85</v>
      </c>
      <c r="C107" s="335">
        <v>47.135335000000005</v>
      </c>
      <c r="D107" s="336">
        <v>72.515900000000002</v>
      </c>
      <c r="E107" s="337">
        <v>72.114449893067771</v>
      </c>
      <c r="F107" s="335">
        <v>1</v>
      </c>
      <c r="G107" s="338">
        <f>Tabela3521[[#This Row],[ICM]]*$C$2</f>
        <v>40</v>
      </c>
      <c r="H107" s="339">
        <v>157.88812000000001</v>
      </c>
      <c r="I107" s="340">
        <v>242.90479999999999</v>
      </c>
      <c r="J107" s="341">
        <v>259.06735751295332</v>
      </c>
      <c r="K107" s="341">
        <v>1</v>
      </c>
      <c r="L107" s="342">
        <f>Tabela3521[[#This Row],[ICM    ]]*$H$2</f>
        <v>15</v>
      </c>
      <c r="M107" s="340">
        <v>134.38379500000002</v>
      </c>
      <c r="N107" s="340">
        <v>206.74430000000001</v>
      </c>
      <c r="O107" s="341">
        <v>225.53191489361703</v>
      </c>
      <c r="P107" s="343">
        <v>1</v>
      </c>
      <c r="Q107" s="342">
        <f>Tabela3521[[#This Row],[ICM      ]]*$M$2</f>
        <v>15</v>
      </c>
      <c r="R107" s="344">
        <v>0.43576689081011843</v>
      </c>
      <c r="S107" s="345">
        <v>0.5</v>
      </c>
      <c r="T107" s="344">
        <f t="shared" si="6"/>
        <v>7.5</v>
      </c>
      <c r="U107" s="346">
        <v>83.081570996978854</v>
      </c>
      <c r="V107" s="346">
        <v>0.9</v>
      </c>
      <c r="W107" s="346">
        <f t="shared" si="7"/>
        <v>13.5</v>
      </c>
      <c r="X107" s="347">
        <f t="shared" si="8"/>
        <v>100</v>
      </c>
      <c r="Y107" s="348">
        <f t="shared" si="9"/>
        <v>91</v>
      </c>
      <c r="Z107" s="348">
        <f t="shared" si="10"/>
        <v>0.91</v>
      </c>
    </row>
    <row r="108" spans="1:26" s="349" customFormat="1" ht="18.75">
      <c r="A108" s="334">
        <v>123</v>
      </c>
      <c r="B108" s="370" t="s">
        <v>5</v>
      </c>
      <c r="C108" s="335">
        <v>54.806635</v>
      </c>
      <c r="D108" s="336">
        <v>84.317899999999995</v>
      </c>
      <c r="E108" s="337">
        <v>76.846484165324753</v>
      </c>
      <c r="F108" s="335">
        <v>0.8</v>
      </c>
      <c r="G108" s="338">
        <f>Tabela3521[[#This Row],[ICM]]*$C$2</f>
        <v>32</v>
      </c>
      <c r="H108" s="339">
        <v>144.85978</v>
      </c>
      <c r="I108" s="340">
        <v>222.8612</v>
      </c>
      <c r="J108" s="341">
        <v>205.17241379310349</v>
      </c>
      <c r="K108" s="341">
        <v>0.77322481812643273</v>
      </c>
      <c r="L108" s="342">
        <f>Tabela3521[[#This Row],[ICM    ]]*$H$2</f>
        <v>11.598372271896491</v>
      </c>
      <c r="M108" s="340">
        <v>151.94601500000002</v>
      </c>
      <c r="N108" s="340">
        <v>233.76310000000001</v>
      </c>
      <c r="O108" s="341">
        <v>220.17543859649123</v>
      </c>
      <c r="P108" s="343">
        <v>0.83392635653655001</v>
      </c>
      <c r="Q108" s="342">
        <f>Tabela3521[[#This Row],[ICM      ]]*$M$2</f>
        <v>12.508895348048251</v>
      </c>
      <c r="R108" s="344">
        <v>0.5</v>
      </c>
      <c r="S108" s="345">
        <v>0.6</v>
      </c>
      <c r="T108" s="344">
        <f t="shared" si="6"/>
        <v>9</v>
      </c>
      <c r="U108" s="346">
        <v>97.51381215469614</v>
      </c>
      <c r="V108" s="346">
        <v>1</v>
      </c>
      <c r="W108" s="346">
        <f t="shared" si="7"/>
        <v>15</v>
      </c>
      <c r="X108" s="347">
        <f t="shared" si="8"/>
        <v>100</v>
      </c>
      <c r="Y108" s="348">
        <f>SUM(G108,L108,Q108,T108,W108)</f>
        <v>80.107267619944736</v>
      </c>
      <c r="Z108" s="348">
        <f>Y108/X108</f>
        <v>0.80107267619944733</v>
      </c>
    </row>
    <row r="109" spans="1:26" s="349" customFormat="1" ht="18.75">
      <c r="A109" s="334">
        <v>124</v>
      </c>
      <c r="B109" s="370" t="s">
        <v>77</v>
      </c>
      <c r="C109" s="335">
        <v>47.208914999999998</v>
      </c>
      <c r="D109" s="336">
        <v>72.629099999999994</v>
      </c>
      <c r="E109" s="337">
        <v>90</v>
      </c>
      <c r="F109" s="335">
        <v>1</v>
      </c>
      <c r="G109" s="338">
        <f>Tabela3521[[#This Row],[ICM]]*$C$2</f>
        <v>40</v>
      </c>
      <c r="H109" s="339">
        <v>158.19140999999999</v>
      </c>
      <c r="I109" s="340">
        <v>243.37139999999999</v>
      </c>
      <c r="J109" s="341">
        <v>242.51968503937007</v>
      </c>
      <c r="K109" s="341">
        <v>0.9900009971751591</v>
      </c>
      <c r="L109" s="342">
        <f>Tabela3521[[#This Row],[ICM    ]]*$H$2</f>
        <v>14.850014957627387</v>
      </c>
      <c r="M109" s="340">
        <v>143.28574</v>
      </c>
      <c r="N109" s="340">
        <v>220.43960000000001</v>
      </c>
      <c r="O109" s="341">
        <v>231.96721311475409</v>
      </c>
      <c r="P109" s="343">
        <v>1</v>
      </c>
      <c r="Q109" s="342">
        <f>Tabela3521[[#This Row],[ICM      ]]*$M$2</f>
        <v>15</v>
      </c>
      <c r="R109" s="344">
        <v>0</v>
      </c>
      <c r="S109" s="345">
        <v>0</v>
      </c>
      <c r="T109" s="344">
        <f t="shared" si="6"/>
        <v>0</v>
      </c>
      <c r="U109" s="346">
        <v>100</v>
      </c>
      <c r="V109" s="346">
        <v>1</v>
      </c>
      <c r="W109" s="346">
        <f t="shared" si="7"/>
        <v>15</v>
      </c>
      <c r="X109" s="347">
        <f t="shared" si="8"/>
        <v>100</v>
      </c>
      <c r="Y109" s="348">
        <f t="shared" si="9"/>
        <v>84.850014957627394</v>
      </c>
      <c r="Z109" s="348">
        <f t="shared" si="10"/>
        <v>0.84850014957627395</v>
      </c>
    </row>
    <row r="110" spans="1:26" s="349" customFormat="1" ht="18.75">
      <c r="A110" s="334">
        <v>125</v>
      </c>
      <c r="B110" s="370" t="s">
        <v>145</v>
      </c>
      <c r="C110" s="335">
        <v>46.411365000000004</v>
      </c>
      <c r="D110" s="336">
        <v>71.402100000000004</v>
      </c>
      <c r="E110" s="337">
        <v>77.804957599478143</v>
      </c>
      <c r="F110" s="335">
        <v>1</v>
      </c>
      <c r="G110" s="338">
        <f>Tabela3521[[#This Row],[ICM]]*$C$2</f>
        <v>40</v>
      </c>
      <c r="H110" s="339">
        <v>161.90811000000002</v>
      </c>
      <c r="I110" s="340">
        <v>249.08940000000001</v>
      </c>
      <c r="J110" s="341">
        <v>233.33333333333331</v>
      </c>
      <c r="K110" s="341">
        <v>0.81927238439960337</v>
      </c>
      <c r="L110" s="342">
        <f>Tabela3521[[#This Row],[ICM    ]]*$H$2</f>
        <v>12.28908576599405</v>
      </c>
      <c r="M110" s="340">
        <v>148.41593</v>
      </c>
      <c r="N110" s="340">
        <v>228.3322</v>
      </c>
      <c r="O110" s="341">
        <v>234.08071748878925</v>
      </c>
      <c r="P110" s="343">
        <v>1</v>
      </c>
      <c r="Q110" s="342">
        <f>Tabela3521[[#This Row],[ICM      ]]*$M$2</f>
        <v>15</v>
      </c>
      <c r="R110" s="344">
        <v>0.74588025704651018</v>
      </c>
      <c r="S110" s="345">
        <v>0.8</v>
      </c>
      <c r="T110" s="344">
        <f t="shared" si="6"/>
        <v>12</v>
      </c>
      <c r="U110" s="346">
        <v>93.989071038251367</v>
      </c>
      <c r="V110" s="346">
        <v>1</v>
      </c>
      <c r="W110" s="346">
        <f t="shared" si="7"/>
        <v>15</v>
      </c>
      <c r="X110" s="347">
        <f t="shared" si="8"/>
        <v>100</v>
      </c>
      <c r="Y110" s="348">
        <f t="shared" si="9"/>
        <v>94.289085765994059</v>
      </c>
      <c r="Z110" s="348">
        <f t="shared" si="10"/>
        <v>0.94289085765994063</v>
      </c>
    </row>
    <row r="111" spans="1:26" s="349" customFormat="1" ht="18.75">
      <c r="A111" s="367">
        <v>128</v>
      </c>
      <c r="B111" s="371" t="s">
        <v>118</v>
      </c>
      <c r="C111" s="335">
        <v>51.335245</v>
      </c>
      <c r="D111" s="336">
        <v>78.9773</v>
      </c>
      <c r="E111" s="337">
        <v>73.035714285714292</v>
      </c>
      <c r="F111" s="335">
        <v>0.85</v>
      </c>
      <c r="G111" s="338">
        <f>Tabela3521[[#This Row],[ICM]]*$C$2</f>
        <v>34</v>
      </c>
      <c r="H111" s="339">
        <v>174.79071999999999</v>
      </c>
      <c r="I111" s="368">
        <v>268.90879999999999</v>
      </c>
      <c r="J111" s="341">
        <v>275.70093457943921</v>
      </c>
      <c r="K111" s="341">
        <v>1</v>
      </c>
      <c r="L111" s="342">
        <f>Tabela3521[[#This Row],[ICM    ]]*$H$2</f>
        <v>15</v>
      </c>
      <c r="M111" s="340">
        <v>145.80007000000001</v>
      </c>
      <c r="N111" s="340">
        <v>224.30779999999999</v>
      </c>
      <c r="O111" s="341">
        <v>263.20754716981128</v>
      </c>
      <c r="P111" s="343">
        <v>1</v>
      </c>
      <c r="Q111" s="342">
        <f>Tabela3521[[#This Row],[ICM      ]]*$M$2</f>
        <v>15</v>
      </c>
      <c r="R111" s="344">
        <v>0.60582002000080182</v>
      </c>
      <c r="S111" s="345">
        <v>0.7</v>
      </c>
      <c r="T111" s="344">
        <f t="shared" si="6"/>
        <v>10.5</v>
      </c>
      <c r="U111" s="346">
        <v>82.570806100217865</v>
      </c>
      <c r="V111" s="346">
        <v>0.9</v>
      </c>
      <c r="W111" s="346">
        <f t="shared" si="7"/>
        <v>13.5</v>
      </c>
      <c r="X111" s="347">
        <f t="shared" si="8"/>
        <v>100</v>
      </c>
      <c r="Y111" s="348">
        <f t="shared" si="9"/>
        <v>88</v>
      </c>
      <c r="Z111" s="348">
        <f t="shared" si="10"/>
        <v>0.88</v>
      </c>
    </row>
    <row r="112" spans="1:26" s="349" customFormat="1" ht="18.75">
      <c r="A112" s="334">
        <v>134</v>
      </c>
      <c r="B112" s="370" t="s">
        <v>62</v>
      </c>
      <c r="C112" s="335">
        <v>49.574590000000008</v>
      </c>
      <c r="D112" s="336">
        <v>76.268600000000006</v>
      </c>
      <c r="E112" s="337">
        <v>73.918378995433784</v>
      </c>
      <c r="F112" s="335">
        <v>0.9</v>
      </c>
      <c r="G112" s="338">
        <f>Tabela3521[[#This Row],[ICM]]*$C$2</f>
        <v>36</v>
      </c>
      <c r="H112" s="339">
        <v>177.21528499999999</v>
      </c>
      <c r="I112" s="340">
        <v>272.63889999999998</v>
      </c>
      <c r="J112" s="341">
        <v>259.81308411214951</v>
      </c>
      <c r="K112" s="341">
        <v>0.86559075667118179</v>
      </c>
      <c r="L112" s="342">
        <f>Tabela3521[[#This Row],[ICM    ]]*$H$2</f>
        <v>12.983861350067727</v>
      </c>
      <c r="M112" s="340">
        <v>150.510685</v>
      </c>
      <c r="N112" s="340">
        <v>231.5549</v>
      </c>
      <c r="O112" s="341">
        <v>245.89371980676327</v>
      </c>
      <c r="P112" s="343">
        <v>1</v>
      </c>
      <c r="Q112" s="342">
        <f>Tabela3521[[#This Row],[ICM      ]]*$M$2</f>
        <v>15</v>
      </c>
      <c r="R112" s="344">
        <v>0</v>
      </c>
      <c r="S112" s="345">
        <v>0</v>
      </c>
      <c r="T112" s="344">
        <f t="shared" si="6"/>
        <v>0</v>
      </c>
      <c r="U112" s="346">
        <v>85.069444444444443</v>
      </c>
      <c r="V112" s="346">
        <v>0.9</v>
      </c>
      <c r="W112" s="346">
        <f t="shared" si="7"/>
        <v>13.5</v>
      </c>
      <c r="X112" s="347">
        <f t="shared" si="8"/>
        <v>100</v>
      </c>
      <c r="Y112" s="348">
        <f t="shared" si="9"/>
        <v>77.483861350067727</v>
      </c>
      <c r="Z112" s="348">
        <f t="shared" si="10"/>
        <v>0.77483861350067729</v>
      </c>
    </row>
    <row r="113" spans="1:26" s="349" customFormat="1" ht="18.75">
      <c r="A113" s="334">
        <v>135</v>
      </c>
      <c r="B113" s="370" t="s">
        <v>208</v>
      </c>
      <c r="C113" s="335">
        <v>43.363125000000004</v>
      </c>
      <c r="D113" s="336">
        <v>66.712500000000006</v>
      </c>
      <c r="E113" s="337">
        <v>62.088607594936704</v>
      </c>
      <c r="F113" s="335">
        <v>1</v>
      </c>
      <c r="G113" s="338">
        <f>Tabela3521[[#This Row],[ICM]]*$C$2</f>
        <v>40</v>
      </c>
      <c r="H113" s="339">
        <v>161.40072000000001</v>
      </c>
      <c r="I113" s="340">
        <v>248.30879999999999</v>
      </c>
      <c r="J113" s="341">
        <v>251.63043478260869</v>
      </c>
      <c r="K113" s="341">
        <v>1</v>
      </c>
      <c r="L113" s="342">
        <f>Tabela3521[[#This Row],[ICM    ]]*$H$2</f>
        <v>15</v>
      </c>
      <c r="M113" s="340">
        <v>146.151005</v>
      </c>
      <c r="N113" s="340">
        <v>224.8477</v>
      </c>
      <c r="O113" s="341">
        <v>220.8791208791209</v>
      </c>
      <c r="P113" s="343">
        <v>0.94957120980901299</v>
      </c>
      <c r="Q113" s="342">
        <f>Tabela3521[[#This Row],[ICM      ]]*$M$2</f>
        <v>14.243568147135194</v>
      </c>
      <c r="R113" s="344">
        <v>0.42944983818770222</v>
      </c>
      <c r="S113" s="345">
        <v>0.5</v>
      </c>
      <c r="T113" s="344">
        <f t="shared" si="6"/>
        <v>7.5</v>
      </c>
      <c r="U113" s="346">
        <v>96.545454545454547</v>
      </c>
      <c r="V113" s="346">
        <v>1</v>
      </c>
      <c r="W113" s="346">
        <f t="shared" si="7"/>
        <v>15</v>
      </c>
      <c r="X113" s="347">
        <f t="shared" si="8"/>
        <v>100</v>
      </c>
      <c r="Y113" s="348">
        <f t="shared" si="9"/>
        <v>91.743568147135193</v>
      </c>
      <c r="Z113" s="348">
        <f t="shared" si="10"/>
        <v>0.9174356814713519</v>
      </c>
    </row>
    <row r="114" spans="1:26" s="349" customFormat="1" ht="18.75">
      <c r="A114" s="334">
        <v>136</v>
      </c>
      <c r="B114" s="370" t="s">
        <v>181</v>
      </c>
      <c r="C114" s="335">
        <v>45.256315000000001</v>
      </c>
      <c r="D114" s="336">
        <v>69.625100000000003</v>
      </c>
      <c r="E114" s="337">
        <v>68.923611111111114</v>
      </c>
      <c r="F114" s="335">
        <v>1</v>
      </c>
      <c r="G114" s="338">
        <f>Tabela3521[[#This Row],[ICM]]*$C$2</f>
        <v>40</v>
      </c>
      <c r="H114" s="339">
        <v>169.78812499999998</v>
      </c>
      <c r="I114" s="340">
        <v>261.21249999999998</v>
      </c>
      <c r="J114" s="341">
        <v>253.8922155688623</v>
      </c>
      <c r="K114" s="341">
        <v>0.91993071397931159</v>
      </c>
      <c r="L114" s="342">
        <f>Tabela3521[[#This Row],[ICM    ]]*$H$2</f>
        <v>13.798960709689673</v>
      </c>
      <c r="M114" s="340">
        <v>162.82851000000002</v>
      </c>
      <c r="N114" s="340">
        <v>250.50540000000001</v>
      </c>
      <c r="O114" s="341">
        <v>232.91925465838506</v>
      </c>
      <c r="P114" s="343">
        <v>0.79942097237236687</v>
      </c>
      <c r="Q114" s="342">
        <f>Tabela3521[[#This Row],[ICM      ]]*$M$2</f>
        <v>11.991314585585503</v>
      </c>
      <c r="R114" s="344">
        <v>0.71235039470333583</v>
      </c>
      <c r="S114" s="345">
        <v>0.8</v>
      </c>
      <c r="T114" s="344">
        <f t="shared" si="6"/>
        <v>12</v>
      </c>
      <c r="U114" s="346">
        <v>95.816733067729089</v>
      </c>
      <c r="V114" s="346">
        <v>1</v>
      </c>
      <c r="W114" s="346">
        <f t="shared" si="7"/>
        <v>15</v>
      </c>
      <c r="X114" s="347">
        <f t="shared" si="8"/>
        <v>100</v>
      </c>
      <c r="Y114" s="348">
        <f t="shared" si="9"/>
        <v>92.79027529527518</v>
      </c>
      <c r="Z114" s="348">
        <f t="shared" si="10"/>
        <v>0.92790275295275182</v>
      </c>
    </row>
    <row r="115" spans="1:26" s="349" customFormat="1" ht="18.75">
      <c r="A115" s="334">
        <v>138</v>
      </c>
      <c r="B115" s="370" t="s">
        <v>20</v>
      </c>
      <c r="C115" s="335">
        <v>51.608570000000007</v>
      </c>
      <c r="D115" s="336">
        <v>79.397800000000004</v>
      </c>
      <c r="E115" s="337">
        <v>80.15625</v>
      </c>
      <c r="F115" s="335">
        <v>1</v>
      </c>
      <c r="G115" s="338">
        <f>Tabela3521[[#This Row],[ICM]]*$C$2</f>
        <v>40</v>
      </c>
      <c r="H115" s="339">
        <v>180.98509000000001</v>
      </c>
      <c r="I115" s="340">
        <v>278.43860000000001</v>
      </c>
      <c r="J115" s="341">
        <v>272.5</v>
      </c>
      <c r="K115" s="341">
        <v>0.93906222567047604</v>
      </c>
      <c r="L115" s="342">
        <f>Tabela3521[[#This Row],[ICM    ]]*$H$2</f>
        <v>14.085933385057141</v>
      </c>
      <c r="M115" s="340">
        <v>164.32851500000001</v>
      </c>
      <c r="N115" s="340">
        <v>252.81309999999999</v>
      </c>
      <c r="O115" s="341">
        <v>268.35443037974682</v>
      </c>
      <c r="P115" s="343">
        <v>1</v>
      </c>
      <c r="Q115" s="342">
        <f>Tabela3521[[#This Row],[ICM      ]]*$M$2</f>
        <v>15</v>
      </c>
      <c r="R115" s="344">
        <v>0.90552584670231728</v>
      </c>
      <c r="S115" s="345">
        <v>1</v>
      </c>
      <c r="T115" s="344">
        <f t="shared" si="6"/>
        <v>15</v>
      </c>
      <c r="U115" s="346">
        <v>86.75</v>
      </c>
      <c r="V115" s="346">
        <v>0.9</v>
      </c>
      <c r="W115" s="346">
        <f t="shared" si="7"/>
        <v>13.5</v>
      </c>
      <c r="X115" s="347">
        <f t="shared" si="8"/>
        <v>100</v>
      </c>
      <c r="Y115" s="348">
        <f t="shared" si="9"/>
        <v>97.585933385057132</v>
      </c>
      <c r="Z115" s="348">
        <f t="shared" si="10"/>
        <v>0.97585933385057133</v>
      </c>
    </row>
    <row r="116" spans="1:26" s="349" customFormat="1" ht="18.75">
      <c r="A116" s="334">
        <v>139</v>
      </c>
      <c r="B116" s="370" t="s">
        <v>196</v>
      </c>
      <c r="C116" s="335">
        <v>40.895660000000007</v>
      </c>
      <c r="D116" s="336">
        <v>62.916400000000003</v>
      </c>
      <c r="E116" s="337">
        <v>66.070381231671547</v>
      </c>
      <c r="F116" s="335">
        <v>1</v>
      </c>
      <c r="G116" s="338">
        <f>Tabela3521[[#This Row],[ICM]]*$C$2</f>
        <v>40</v>
      </c>
      <c r="H116" s="339">
        <v>151.63297499999999</v>
      </c>
      <c r="I116" s="340">
        <v>233.28149999999999</v>
      </c>
      <c r="J116" s="341">
        <v>214.36781609195404</v>
      </c>
      <c r="K116" s="341">
        <v>0.76835241165659818</v>
      </c>
      <c r="L116" s="342">
        <f>Tabela3521[[#This Row],[ICM    ]]*$H$2</f>
        <v>11.525286174848972</v>
      </c>
      <c r="M116" s="340">
        <v>128.54543000000001</v>
      </c>
      <c r="N116" s="340">
        <v>197.76220000000001</v>
      </c>
      <c r="O116" s="341">
        <v>210.05917159763314</v>
      </c>
      <c r="P116" s="343">
        <v>1</v>
      </c>
      <c r="Q116" s="342">
        <f>Tabela3521[[#This Row],[ICM      ]]*$M$2</f>
        <v>15</v>
      </c>
      <c r="R116" s="344">
        <v>0.5</v>
      </c>
      <c r="S116" s="345">
        <v>0.6</v>
      </c>
      <c r="T116" s="344">
        <f t="shared" si="6"/>
        <v>9</v>
      </c>
      <c r="U116" s="346">
        <v>99.7340425531915</v>
      </c>
      <c r="V116" s="346">
        <v>1</v>
      </c>
      <c r="W116" s="346">
        <f t="shared" si="7"/>
        <v>15</v>
      </c>
      <c r="X116" s="347">
        <f t="shared" si="8"/>
        <v>100</v>
      </c>
      <c r="Y116" s="348">
        <f t="shared" si="9"/>
        <v>90.525286174848972</v>
      </c>
      <c r="Z116" s="348">
        <f t="shared" si="10"/>
        <v>0.90525286174848973</v>
      </c>
    </row>
    <row r="117" spans="1:26" s="349" customFormat="1" ht="18.75">
      <c r="A117" s="334">
        <v>140</v>
      </c>
      <c r="B117" s="370" t="s">
        <v>172</v>
      </c>
      <c r="C117" s="335">
        <v>49.226645000000005</v>
      </c>
      <c r="D117" s="336">
        <v>75.7333</v>
      </c>
      <c r="E117" s="337">
        <v>70.820552147239255</v>
      </c>
      <c r="F117" s="335">
        <v>0.7</v>
      </c>
      <c r="G117" s="338">
        <f>Tabela3521[[#This Row],[ICM]]*$C$2</f>
        <v>28</v>
      </c>
      <c r="H117" s="339">
        <v>149.58755500000001</v>
      </c>
      <c r="I117" s="340">
        <v>230.13470000000001</v>
      </c>
      <c r="J117" s="341">
        <v>251.54639175257728</v>
      </c>
      <c r="K117" s="341">
        <v>1</v>
      </c>
      <c r="L117" s="342">
        <f>Tabela3521[[#This Row],[ICM    ]]*$H$2</f>
        <v>15</v>
      </c>
      <c r="M117" s="340">
        <v>146.20781500000001</v>
      </c>
      <c r="N117" s="340">
        <v>224.93510000000001</v>
      </c>
      <c r="O117" s="341">
        <v>257.29166666666669</v>
      </c>
      <c r="P117" s="343">
        <v>1</v>
      </c>
      <c r="Q117" s="342">
        <f>Tabela3521[[#This Row],[ICM      ]]*$M$2</f>
        <v>15</v>
      </c>
      <c r="R117" s="344">
        <v>0</v>
      </c>
      <c r="S117" s="345">
        <v>0</v>
      </c>
      <c r="T117" s="344">
        <f t="shared" si="6"/>
        <v>0</v>
      </c>
      <c r="U117" s="346">
        <v>89.88095238095238</v>
      </c>
      <c r="V117" s="346">
        <v>0.9</v>
      </c>
      <c r="W117" s="346">
        <f t="shared" si="7"/>
        <v>13.5</v>
      </c>
      <c r="X117" s="347">
        <f t="shared" si="8"/>
        <v>100</v>
      </c>
      <c r="Y117" s="348">
        <f t="shared" si="9"/>
        <v>71.5</v>
      </c>
      <c r="Z117" s="348">
        <f t="shared" si="10"/>
        <v>0.71499999999999997</v>
      </c>
    </row>
    <row r="118" spans="1:26" s="349" customFormat="1" ht="18.75">
      <c r="A118" s="334">
        <v>141</v>
      </c>
      <c r="B118" s="370" t="s">
        <v>33</v>
      </c>
      <c r="C118" s="335">
        <v>51.951705000000004</v>
      </c>
      <c r="D118" s="336">
        <v>79.925700000000006</v>
      </c>
      <c r="E118" s="337">
        <v>75.672413793103459</v>
      </c>
      <c r="F118" s="335">
        <v>0.9</v>
      </c>
      <c r="G118" s="338">
        <f>Tabela3521[[#This Row],[ICM]]*$C$2</f>
        <v>36</v>
      </c>
      <c r="H118" s="339">
        <v>181.42488000000003</v>
      </c>
      <c r="I118" s="340">
        <v>279.11520000000002</v>
      </c>
      <c r="J118" s="341">
        <v>249.73262032085563</v>
      </c>
      <c r="K118" s="341">
        <v>0.69922731669683968</v>
      </c>
      <c r="L118" s="342">
        <f>Tabela3521[[#This Row],[ICM    ]]*$H$2</f>
        <v>10.488409750452595</v>
      </c>
      <c r="M118" s="340">
        <v>147.54486499999999</v>
      </c>
      <c r="N118" s="340">
        <v>226.99209999999999</v>
      </c>
      <c r="O118" s="341">
        <v>230.05464480874315</v>
      </c>
      <c r="P118" s="343">
        <v>1</v>
      </c>
      <c r="Q118" s="342">
        <f>Tabela3521[[#This Row],[ICM      ]]*$M$2</f>
        <v>15</v>
      </c>
      <c r="R118" s="344">
        <v>0</v>
      </c>
      <c r="S118" s="345">
        <v>0</v>
      </c>
      <c r="T118" s="344">
        <f t="shared" si="6"/>
        <v>0</v>
      </c>
      <c r="U118" s="346">
        <v>83.585858585858588</v>
      </c>
      <c r="V118" s="346">
        <v>0.9</v>
      </c>
      <c r="W118" s="346">
        <f t="shared" si="7"/>
        <v>13.5</v>
      </c>
      <c r="X118" s="347">
        <f t="shared" si="8"/>
        <v>100</v>
      </c>
      <c r="Y118" s="348">
        <f t="shared" si="9"/>
        <v>74.988409750452604</v>
      </c>
      <c r="Z118" s="348">
        <f t="shared" si="10"/>
        <v>0.749884097504526</v>
      </c>
    </row>
    <row r="119" spans="1:26" s="349" customFormat="1" ht="18.75">
      <c r="A119" s="334">
        <v>142</v>
      </c>
      <c r="B119" s="370" t="s">
        <v>105</v>
      </c>
      <c r="C119" s="335">
        <v>52.270400000000002</v>
      </c>
      <c r="D119" s="336">
        <v>80.415999999999997</v>
      </c>
      <c r="E119" s="337">
        <v>74.39556962025317</v>
      </c>
      <c r="F119" s="335">
        <v>0.9</v>
      </c>
      <c r="G119" s="338">
        <f>Tabela3521[[#This Row],[ICM]]*$C$2</f>
        <v>36</v>
      </c>
      <c r="H119" s="339">
        <v>160.87311499999998</v>
      </c>
      <c r="I119" s="340">
        <v>247.49709999999999</v>
      </c>
      <c r="J119" s="341">
        <v>252.65957446808511</v>
      </c>
      <c r="K119" s="341">
        <v>1</v>
      </c>
      <c r="L119" s="342">
        <f>Tabela3521[[#This Row],[ICM    ]]*$H$2</f>
        <v>15</v>
      </c>
      <c r="M119" s="340">
        <v>140.98058</v>
      </c>
      <c r="N119" s="340">
        <v>216.89320000000001</v>
      </c>
      <c r="O119" s="341">
        <v>234.78260869565219</v>
      </c>
      <c r="P119" s="343">
        <v>1</v>
      </c>
      <c r="Q119" s="342">
        <f>Tabela3521[[#This Row],[ICM      ]]*$M$2</f>
        <v>15</v>
      </c>
      <c r="R119" s="344">
        <v>0.5</v>
      </c>
      <c r="S119" s="345">
        <v>0.6</v>
      </c>
      <c r="T119" s="344">
        <f t="shared" si="6"/>
        <v>9</v>
      </c>
      <c r="U119" s="346">
        <v>83.043478260869563</v>
      </c>
      <c r="V119" s="346">
        <v>0.9</v>
      </c>
      <c r="W119" s="346">
        <f t="shared" si="7"/>
        <v>13.5</v>
      </c>
      <c r="X119" s="347">
        <f t="shared" si="8"/>
        <v>100</v>
      </c>
      <c r="Y119" s="348">
        <f t="shared" si="9"/>
        <v>88.5</v>
      </c>
      <c r="Z119" s="348">
        <f t="shared" si="10"/>
        <v>0.88500000000000001</v>
      </c>
    </row>
    <row r="120" spans="1:26" s="349" customFormat="1" ht="18.75">
      <c r="A120" s="334">
        <v>144</v>
      </c>
      <c r="B120" s="370" t="s">
        <v>114</v>
      </c>
      <c r="C120" s="335">
        <v>44.578040000000001</v>
      </c>
      <c r="D120" s="336">
        <v>68.581599999999995</v>
      </c>
      <c r="E120" s="337">
        <v>66.81822509998095</v>
      </c>
      <c r="F120" s="335">
        <v>1</v>
      </c>
      <c r="G120" s="338">
        <f>Tabela3521[[#This Row],[ICM]]*$C$2</f>
        <v>40</v>
      </c>
      <c r="H120" s="339">
        <v>163.410585</v>
      </c>
      <c r="I120" s="340">
        <v>251.40090000000001</v>
      </c>
      <c r="J120" s="341">
        <v>262.08791208791212</v>
      </c>
      <c r="K120" s="341">
        <v>1</v>
      </c>
      <c r="L120" s="342">
        <f>Tabela3521[[#This Row],[ICM    ]]*$H$2</f>
        <v>15</v>
      </c>
      <c r="M120" s="340">
        <v>144.0205</v>
      </c>
      <c r="N120" s="340">
        <v>221.57</v>
      </c>
      <c r="O120" s="341">
        <v>222.47191011235958</v>
      </c>
      <c r="P120" s="343">
        <v>1</v>
      </c>
      <c r="Q120" s="342">
        <f>Tabela3521[[#This Row],[ICM      ]]*$M$2</f>
        <v>15</v>
      </c>
      <c r="R120" s="344">
        <v>0.48335018537243007</v>
      </c>
      <c r="S120" s="345">
        <v>0.5</v>
      </c>
      <c r="T120" s="344">
        <f t="shared" si="6"/>
        <v>7.5</v>
      </c>
      <c r="U120" s="346">
        <v>67.873303167420815</v>
      </c>
      <c r="V120" s="346">
        <v>0.7</v>
      </c>
      <c r="W120" s="346">
        <f t="shared" si="7"/>
        <v>10.5</v>
      </c>
      <c r="X120" s="347">
        <f t="shared" si="8"/>
        <v>100</v>
      </c>
      <c r="Y120" s="348">
        <f t="shared" si="9"/>
        <v>88</v>
      </c>
      <c r="Z120" s="348">
        <f t="shared" si="10"/>
        <v>0.88</v>
      </c>
    </row>
    <row r="121" spans="1:26" s="349" customFormat="1" ht="18.75">
      <c r="A121" s="334">
        <v>145</v>
      </c>
      <c r="B121" s="370" t="s">
        <v>139</v>
      </c>
      <c r="C121" s="335">
        <v>41.954575000000006</v>
      </c>
      <c r="D121" s="336">
        <v>64.545500000000004</v>
      </c>
      <c r="E121" s="337">
        <v>68.323742540494464</v>
      </c>
      <c r="F121" s="335">
        <v>1</v>
      </c>
      <c r="G121" s="338">
        <f>Tabela3521[[#This Row],[ICM]]*$C$2</f>
        <v>40</v>
      </c>
      <c r="H121" s="339">
        <v>156.66833</v>
      </c>
      <c r="I121" s="340">
        <v>241.0282</v>
      </c>
      <c r="J121" s="341">
        <v>250</v>
      </c>
      <c r="K121" s="341">
        <v>1</v>
      </c>
      <c r="L121" s="342">
        <f>Tabela3521[[#This Row],[ICM    ]]*$H$2</f>
        <v>15</v>
      </c>
      <c r="M121" s="340">
        <v>152.18801000000002</v>
      </c>
      <c r="N121" s="340">
        <v>234.1354</v>
      </c>
      <c r="O121" s="341">
        <v>247.19101123595505</v>
      </c>
      <c r="P121" s="343">
        <v>1</v>
      </c>
      <c r="Q121" s="342">
        <f>Tabela3521[[#This Row],[ICM      ]]*$M$2</f>
        <v>15</v>
      </c>
      <c r="R121" s="344">
        <v>0</v>
      </c>
      <c r="S121" s="345">
        <v>0</v>
      </c>
      <c r="T121" s="344">
        <f t="shared" si="6"/>
        <v>0</v>
      </c>
      <c r="U121" s="346">
        <v>95.270270270270274</v>
      </c>
      <c r="V121" s="346">
        <v>1</v>
      </c>
      <c r="W121" s="346">
        <f t="shared" si="7"/>
        <v>15</v>
      </c>
      <c r="X121" s="347">
        <f t="shared" si="8"/>
        <v>100</v>
      </c>
      <c r="Y121" s="348">
        <f t="shared" si="9"/>
        <v>85</v>
      </c>
      <c r="Z121" s="348">
        <f t="shared" si="10"/>
        <v>0.85</v>
      </c>
    </row>
    <row r="122" spans="1:26" s="349" customFormat="1" ht="18.75">
      <c r="A122" s="334">
        <v>147</v>
      </c>
      <c r="B122" s="370" t="s">
        <v>42</v>
      </c>
      <c r="C122" s="335">
        <v>52.293020000000006</v>
      </c>
      <c r="D122" s="336">
        <v>80.450800000000001</v>
      </c>
      <c r="E122" s="337">
        <v>74.820261437908499</v>
      </c>
      <c r="F122" s="335">
        <v>0.9</v>
      </c>
      <c r="G122" s="338">
        <f>Tabela3521[[#This Row],[ICM]]*$C$2</f>
        <v>36</v>
      </c>
      <c r="H122" s="339">
        <v>176.98512000000002</v>
      </c>
      <c r="I122" s="340">
        <v>272.28480000000002</v>
      </c>
      <c r="J122" s="341">
        <v>255.61224489795916</v>
      </c>
      <c r="K122" s="341">
        <v>0.82505130025577356</v>
      </c>
      <c r="L122" s="342">
        <f>Tabela3521[[#This Row],[ICM    ]]*$H$2</f>
        <v>12.375769503836603</v>
      </c>
      <c r="M122" s="340">
        <v>154.18526500000002</v>
      </c>
      <c r="N122" s="340">
        <v>237.2081</v>
      </c>
      <c r="O122" s="341">
        <v>256.70103092783501</v>
      </c>
      <c r="P122" s="343">
        <v>1</v>
      </c>
      <c r="Q122" s="342">
        <f>Tabela3521[[#This Row],[ICM      ]]*$M$2</f>
        <v>15</v>
      </c>
      <c r="R122" s="344">
        <v>0</v>
      </c>
      <c r="S122" s="345">
        <v>0</v>
      </c>
      <c r="T122" s="344">
        <f t="shared" si="6"/>
        <v>0</v>
      </c>
      <c r="U122" s="346">
        <v>89.835164835164832</v>
      </c>
      <c r="V122" s="346">
        <v>0.9</v>
      </c>
      <c r="W122" s="346">
        <f t="shared" si="7"/>
        <v>13.5</v>
      </c>
      <c r="X122" s="347">
        <f t="shared" si="8"/>
        <v>100</v>
      </c>
      <c r="Y122" s="348">
        <f t="shared" si="9"/>
        <v>76.875769503836608</v>
      </c>
      <c r="Z122" s="348">
        <f t="shared" si="10"/>
        <v>0.76875769503836611</v>
      </c>
    </row>
    <row r="123" spans="1:26" s="349" customFormat="1" ht="18.75">
      <c r="A123" s="334">
        <v>148</v>
      </c>
      <c r="B123" s="370" t="s">
        <v>131</v>
      </c>
      <c r="C123" s="335">
        <v>48.108774999999994</v>
      </c>
      <c r="D123" s="336">
        <v>74.013499999999993</v>
      </c>
      <c r="E123" s="337">
        <v>66.416122227456114</v>
      </c>
      <c r="F123" s="335">
        <v>0.75</v>
      </c>
      <c r="G123" s="338">
        <f>Tabela3521[[#This Row],[ICM]]*$C$2</f>
        <v>30</v>
      </c>
      <c r="H123" s="339">
        <v>153.10483500000001</v>
      </c>
      <c r="I123" s="340">
        <v>235.54589999999999</v>
      </c>
      <c r="J123" s="341">
        <v>236.14457831325299</v>
      </c>
      <c r="K123" s="341">
        <v>1</v>
      </c>
      <c r="L123" s="342">
        <f>Tabela3521[[#This Row],[ICM    ]]*$H$2</f>
        <v>15</v>
      </c>
      <c r="M123" s="340">
        <v>126.04182500000002</v>
      </c>
      <c r="N123" s="340">
        <v>193.91050000000001</v>
      </c>
      <c r="O123" s="341">
        <v>204.24242424242422</v>
      </c>
      <c r="P123" s="343">
        <v>1</v>
      </c>
      <c r="Q123" s="342">
        <f>Tabela3521[[#This Row],[ICM      ]]*$M$2</f>
        <v>15</v>
      </c>
      <c r="R123" s="344">
        <v>0.83405370006548796</v>
      </c>
      <c r="S123" s="345">
        <v>1</v>
      </c>
      <c r="T123" s="344">
        <f t="shared" si="6"/>
        <v>15</v>
      </c>
      <c r="U123" s="346">
        <v>99.043977055449332</v>
      </c>
      <c r="V123" s="346">
        <v>1</v>
      </c>
      <c r="W123" s="346">
        <f t="shared" si="7"/>
        <v>15</v>
      </c>
      <c r="X123" s="347">
        <f t="shared" si="8"/>
        <v>100</v>
      </c>
      <c r="Y123" s="348">
        <f t="shared" si="9"/>
        <v>90</v>
      </c>
      <c r="Z123" s="348">
        <f t="shared" si="10"/>
        <v>0.9</v>
      </c>
    </row>
    <row r="124" spans="1:26" s="349" customFormat="1" ht="18.75">
      <c r="A124" s="334">
        <v>149</v>
      </c>
      <c r="B124" s="370" t="s">
        <v>28</v>
      </c>
      <c r="C124" s="335">
        <v>48.307870000000001</v>
      </c>
      <c r="D124" s="336">
        <v>74.319800000000001</v>
      </c>
      <c r="E124" s="337">
        <v>69.501133786848072</v>
      </c>
      <c r="F124" s="335">
        <v>1</v>
      </c>
      <c r="G124" s="338">
        <f>Tabela3521[[#This Row],[ICM]]*$C$2</f>
        <v>40</v>
      </c>
      <c r="H124" s="339">
        <v>152.95436000000001</v>
      </c>
      <c r="I124" s="340">
        <v>235.31440000000001</v>
      </c>
      <c r="J124" s="341">
        <v>262.73584905660374</v>
      </c>
      <c r="K124" s="341">
        <v>1</v>
      </c>
      <c r="L124" s="342">
        <f>Tabela3521[[#This Row],[ICM    ]]*$H$2</f>
        <v>15</v>
      </c>
      <c r="M124" s="340">
        <v>132.17125999999999</v>
      </c>
      <c r="N124" s="340">
        <v>203.34039999999999</v>
      </c>
      <c r="O124" s="341">
        <v>241.42857142857144</v>
      </c>
      <c r="P124" s="343">
        <v>1</v>
      </c>
      <c r="Q124" s="342">
        <f>Tabela3521[[#This Row],[ICM      ]]*$M$2</f>
        <v>15</v>
      </c>
      <c r="R124" s="344">
        <v>0.78997732055324266</v>
      </c>
      <c r="S124" s="345">
        <v>0.8</v>
      </c>
      <c r="T124" s="344">
        <f t="shared" si="6"/>
        <v>12</v>
      </c>
      <c r="U124" s="346">
        <v>97.008547008547012</v>
      </c>
      <c r="V124" s="346">
        <v>1</v>
      </c>
      <c r="W124" s="346">
        <f t="shared" si="7"/>
        <v>15</v>
      </c>
      <c r="X124" s="347">
        <f t="shared" si="8"/>
        <v>100</v>
      </c>
      <c r="Y124" s="348">
        <f t="shared" si="9"/>
        <v>97</v>
      </c>
      <c r="Z124" s="348">
        <f t="shared" si="10"/>
        <v>0.97</v>
      </c>
    </row>
    <row r="125" spans="1:26" s="349" customFormat="1" ht="18.75">
      <c r="A125" s="334">
        <v>150</v>
      </c>
      <c r="B125" s="370" t="s">
        <v>70</v>
      </c>
      <c r="C125" s="335">
        <v>54.872545000000009</v>
      </c>
      <c r="D125" s="336">
        <v>84.419300000000007</v>
      </c>
      <c r="E125" s="337">
        <v>87.002118644067792</v>
      </c>
      <c r="F125" s="335">
        <v>1</v>
      </c>
      <c r="G125" s="338">
        <f>Tabela3521[[#This Row],[ICM]]*$C$2</f>
        <v>40</v>
      </c>
      <c r="H125" s="339">
        <v>152.19451000000001</v>
      </c>
      <c r="I125" s="340">
        <v>234.1454</v>
      </c>
      <c r="J125" s="341">
        <v>242.75862068965517</v>
      </c>
      <c r="K125" s="341">
        <v>1</v>
      </c>
      <c r="L125" s="342">
        <f>Tabela3521[[#This Row],[ICM    ]]*$H$2</f>
        <v>15</v>
      </c>
      <c r="M125" s="340">
        <v>159.26735500000001</v>
      </c>
      <c r="N125" s="340">
        <v>245.02670000000001</v>
      </c>
      <c r="O125" s="341">
        <v>237.06293706293707</v>
      </c>
      <c r="P125" s="343">
        <v>0.90713824904955909</v>
      </c>
      <c r="Q125" s="342">
        <f>Tabela3521[[#This Row],[ICM      ]]*$M$2</f>
        <v>13.607073735743386</v>
      </c>
      <c r="R125" s="344">
        <v>0.61401136887386687</v>
      </c>
      <c r="S125" s="345">
        <v>0.7</v>
      </c>
      <c r="T125" s="344">
        <f t="shared" si="6"/>
        <v>10.5</v>
      </c>
      <c r="U125" s="346">
        <v>86.428571428571431</v>
      </c>
      <c r="V125" s="346">
        <v>0.9</v>
      </c>
      <c r="W125" s="346">
        <f t="shared" si="7"/>
        <v>13.5</v>
      </c>
      <c r="X125" s="347">
        <f t="shared" si="8"/>
        <v>100</v>
      </c>
      <c r="Y125" s="348">
        <f t="shared" si="9"/>
        <v>92.607073735743384</v>
      </c>
      <c r="Z125" s="348">
        <f t="shared" si="10"/>
        <v>0.92607073735743384</v>
      </c>
    </row>
    <row r="126" spans="1:26" s="349" customFormat="1" ht="18.75">
      <c r="A126" s="334">
        <v>151</v>
      </c>
      <c r="B126" s="370" t="s">
        <v>168</v>
      </c>
      <c r="C126" s="335">
        <v>43.108520000000006</v>
      </c>
      <c r="D126" s="336">
        <v>66.320800000000006</v>
      </c>
      <c r="E126" s="337">
        <v>64.438091482649838</v>
      </c>
      <c r="F126" s="335">
        <v>1</v>
      </c>
      <c r="G126" s="338">
        <f>Tabela3521[[#This Row],[ICM]]*$C$2</f>
        <v>40</v>
      </c>
      <c r="H126" s="339">
        <v>152.239035</v>
      </c>
      <c r="I126" s="340">
        <v>234.2139</v>
      </c>
      <c r="J126" s="341">
        <v>245.19774011299435</v>
      </c>
      <c r="K126" s="341">
        <v>1</v>
      </c>
      <c r="L126" s="342">
        <f>Tabela3521[[#This Row],[ICM    ]]*$H$2</f>
        <v>15</v>
      </c>
      <c r="M126" s="340">
        <v>143.01514500000002</v>
      </c>
      <c r="N126" s="340">
        <v>220.02330000000001</v>
      </c>
      <c r="O126" s="341">
        <v>240.35087719298241</v>
      </c>
      <c r="P126" s="343">
        <v>1</v>
      </c>
      <c r="Q126" s="342">
        <f>Tabela3521[[#This Row],[ICM      ]]*$M$2</f>
        <v>15</v>
      </c>
      <c r="R126" s="344">
        <v>0</v>
      </c>
      <c r="S126" s="345">
        <v>0</v>
      </c>
      <c r="T126" s="344">
        <f t="shared" si="6"/>
        <v>0</v>
      </c>
      <c r="U126" s="346">
        <v>90.026954177897579</v>
      </c>
      <c r="V126" s="346">
        <v>1</v>
      </c>
      <c r="W126" s="346">
        <f t="shared" si="7"/>
        <v>15</v>
      </c>
      <c r="X126" s="347">
        <f t="shared" si="8"/>
        <v>100</v>
      </c>
      <c r="Y126" s="348">
        <f t="shared" si="9"/>
        <v>85</v>
      </c>
      <c r="Z126" s="348">
        <f t="shared" si="10"/>
        <v>0.85</v>
      </c>
    </row>
    <row r="127" spans="1:26" s="349" customFormat="1" ht="18.75">
      <c r="A127" s="334">
        <v>152</v>
      </c>
      <c r="B127" s="370" t="s">
        <v>24</v>
      </c>
      <c r="C127" s="335">
        <v>49.608325000000001</v>
      </c>
      <c r="D127" s="336">
        <v>76.320499999999996</v>
      </c>
      <c r="E127" s="337">
        <v>74.642857142857139</v>
      </c>
      <c r="F127" s="335">
        <v>0.9</v>
      </c>
      <c r="G127" s="338">
        <f>Tabela3521[[#This Row],[ICM]]*$C$2</f>
        <v>36</v>
      </c>
      <c r="H127" s="339">
        <v>172.71241000000003</v>
      </c>
      <c r="I127" s="340">
        <v>265.71140000000003</v>
      </c>
      <c r="J127" s="341">
        <v>249.7536945812808</v>
      </c>
      <c r="K127" s="341">
        <v>0.82840990618587118</v>
      </c>
      <c r="L127" s="342">
        <f>Tabela3521[[#This Row],[ICM    ]]*$H$2</f>
        <v>12.426148592788067</v>
      </c>
      <c r="M127" s="340">
        <v>162.949735</v>
      </c>
      <c r="N127" s="340">
        <v>250.6919</v>
      </c>
      <c r="O127" s="341">
        <v>211.1650485436893</v>
      </c>
      <c r="P127" s="343">
        <v>0.54951132723576279</v>
      </c>
      <c r="Q127" s="342">
        <f>Tabela3521[[#This Row],[ICM      ]]*$M$2</f>
        <v>8.2426699085364419</v>
      </c>
      <c r="R127" s="344">
        <v>0.323624953857512</v>
      </c>
      <c r="S127" s="345">
        <v>0</v>
      </c>
      <c r="T127" s="344">
        <f t="shared" si="6"/>
        <v>0</v>
      </c>
      <c r="U127" s="346">
        <v>85.219399538106231</v>
      </c>
      <c r="V127" s="346">
        <v>0.9</v>
      </c>
      <c r="W127" s="346">
        <f t="shared" si="7"/>
        <v>13.5</v>
      </c>
      <c r="X127" s="347">
        <f t="shared" si="8"/>
        <v>100</v>
      </c>
      <c r="Y127" s="348">
        <f t="shared" si="9"/>
        <v>70.168818501324509</v>
      </c>
      <c r="Z127" s="348">
        <f t="shared" si="10"/>
        <v>0.70168818501324504</v>
      </c>
    </row>
    <row r="128" spans="1:26" s="349" customFormat="1" ht="18.75">
      <c r="A128" s="334">
        <v>153</v>
      </c>
      <c r="B128" s="370" t="s">
        <v>189</v>
      </c>
      <c r="C128" s="335">
        <v>42.718519999999998</v>
      </c>
      <c r="D128" s="336">
        <v>65.720799999999997</v>
      </c>
      <c r="E128" s="337">
        <v>69.988826815642454</v>
      </c>
      <c r="F128" s="335">
        <v>1</v>
      </c>
      <c r="G128" s="338">
        <f>Tabela3521[[#This Row],[ICM]]*$C$2</f>
        <v>40</v>
      </c>
      <c r="H128" s="339">
        <v>167.359465</v>
      </c>
      <c r="I128" s="340">
        <v>257.47609999999997</v>
      </c>
      <c r="J128" s="341">
        <v>253.09090909090909</v>
      </c>
      <c r="K128" s="341">
        <v>0.95133871888258059</v>
      </c>
      <c r="L128" s="342">
        <f>Tabela3521[[#This Row],[ICM    ]]*$H$2</f>
        <v>14.27008078323871</v>
      </c>
      <c r="M128" s="340">
        <v>154.989835</v>
      </c>
      <c r="N128" s="340">
        <v>238.44589999999999</v>
      </c>
      <c r="O128" s="341">
        <v>233.84030418250953</v>
      </c>
      <c r="P128" s="343">
        <v>0.94481412684038646</v>
      </c>
      <c r="Q128" s="342">
        <f>Tabela3521[[#This Row],[ICM      ]]*$M$2</f>
        <v>14.172211902605797</v>
      </c>
      <c r="R128" s="344">
        <v>0.44657210401891256</v>
      </c>
      <c r="S128" s="345">
        <v>0.5</v>
      </c>
      <c r="T128" s="344">
        <f t="shared" si="6"/>
        <v>7.5</v>
      </c>
      <c r="U128" s="346">
        <v>85.432473444613052</v>
      </c>
      <c r="V128" s="346">
        <v>0.9</v>
      </c>
      <c r="W128" s="346">
        <f t="shared" si="7"/>
        <v>13.5</v>
      </c>
      <c r="X128" s="347">
        <f t="shared" si="8"/>
        <v>100</v>
      </c>
      <c r="Y128" s="348">
        <f t="shared" si="9"/>
        <v>89.442292685844507</v>
      </c>
      <c r="Z128" s="348">
        <f t="shared" si="10"/>
        <v>0.89442292685844504</v>
      </c>
    </row>
    <row r="129" spans="1:26" s="349" customFormat="1" ht="18.75">
      <c r="A129" s="334">
        <v>154</v>
      </c>
      <c r="B129" s="370" t="s">
        <v>178</v>
      </c>
      <c r="C129" s="335">
        <v>45.304805000000009</v>
      </c>
      <c r="D129" s="336">
        <v>69.699700000000007</v>
      </c>
      <c r="E129" s="337">
        <v>69.001610305958124</v>
      </c>
      <c r="F129" s="335">
        <v>1</v>
      </c>
      <c r="G129" s="338">
        <f>Tabela3521[[#This Row],[ICM]]*$C$2</f>
        <v>40</v>
      </c>
      <c r="H129" s="339">
        <v>161.51934500000002</v>
      </c>
      <c r="I129" s="340">
        <v>248.4913</v>
      </c>
      <c r="J129" s="341">
        <v>249.56521739130437</v>
      </c>
      <c r="K129" s="341">
        <v>1</v>
      </c>
      <c r="L129" s="342">
        <f>Tabela3521[[#This Row],[ICM    ]]*$H$2</f>
        <v>15</v>
      </c>
      <c r="M129" s="340">
        <v>149.454565</v>
      </c>
      <c r="N129" s="340">
        <v>229.93010000000001</v>
      </c>
      <c r="O129" s="341">
        <v>239.09090909090912</v>
      </c>
      <c r="P129" s="343">
        <v>1</v>
      </c>
      <c r="Q129" s="342">
        <f>Tabela3521[[#This Row],[ICM      ]]*$M$2</f>
        <v>15</v>
      </c>
      <c r="R129" s="344">
        <v>0</v>
      </c>
      <c r="S129" s="345">
        <v>0</v>
      </c>
      <c r="T129" s="344">
        <f t="shared" si="6"/>
        <v>0</v>
      </c>
      <c r="U129" s="346">
        <v>93.367346938775512</v>
      </c>
      <c r="V129" s="346">
        <v>1</v>
      </c>
      <c r="W129" s="346">
        <f t="shared" si="7"/>
        <v>15</v>
      </c>
      <c r="X129" s="347">
        <f t="shared" si="8"/>
        <v>100</v>
      </c>
      <c r="Y129" s="348">
        <f t="shared" si="9"/>
        <v>85</v>
      </c>
      <c r="Z129" s="348">
        <f t="shared" si="10"/>
        <v>0.85</v>
      </c>
    </row>
    <row r="130" spans="1:26" s="349" customFormat="1" ht="18.75">
      <c r="A130" s="334">
        <v>156</v>
      </c>
      <c r="B130" s="370" t="s">
        <v>9</v>
      </c>
      <c r="C130" s="335">
        <v>55.801005000000004</v>
      </c>
      <c r="D130" s="336">
        <v>85.847700000000003</v>
      </c>
      <c r="E130" s="337">
        <v>70.71295557329077</v>
      </c>
      <c r="F130" s="335">
        <v>0.7</v>
      </c>
      <c r="G130" s="338">
        <f>Tabela3521[[#This Row],[ICM]]*$C$2</f>
        <v>28</v>
      </c>
      <c r="H130" s="339">
        <v>146.63298</v>
      </c>
      <c r="I130" s="340">
        <v>225.58920000000001</v>
      </c>
      <c r="J130" s="341">
        <v>201.61290322580646</v>
      </c>
      <c r="K130" s="341">
        <v>0.69633428785986029</v>
      </c>
      <c r="L130" s="342">
        <f>Tabela3521[[#This Row],[ICM    ]]*$H$2</f>
        <v>10.445014317897904</v>
      </c>
      <c r="M130" s="340">
        <v>115.81817000000001</v>
      </c>
      <c r="N130" s="340">
        <v>178.18180000000001</v>
      </c>
      <c r="O130" s="341">
        <v>163.9344262295082</v>
      </c>
      <c r="P130" s="343">
        <v>0.7715435459659451</v>
      </c>
      <c r="Q130" s="342">
        <f>Tabela3521[[#This Row],[ICM      ]]*$M$2</f>
        <v>11.573153189489176</v>
      </c>
      <c r="R130" s="344">
        <v>0.48688230008984729</v>
      </c>
      <c r="S130" s="345">
        <v>0.5</v>
      </c>
      <c r="T130" s="344">
        <f t="shared" si="6"/>
        <v>7.5</v>
      </c>
      <c r="U130" s="346">
        <v>85.159010600706708</v>
      </c>
      <c r="V130" s="346">
        <v>0.9</v>
      </c>
      <c r="W130" s="346">
        <f t="shared" si="7"/>
        <v>13.5</v>
      </c>
      <c r="X130" s="347">
        <f t="shared" si="8"/>
        <v>100</v>
      </c>
      <c r="Y130" s="348">
        <f t="shared" si="9"/>
        <v>71.018167507387076</v>
      </c>
      <c r="Z130" s="348">
        <f t="shared" si="10"/>
        <v>0.71018167507387076</v>
      </c>
    </row>
    <row r="131" spans="1:26" s="349" customFormat="1" ht="18.75">
      <c r="A131" s="334">
        <v>158</v>
      </c>
      <c r="B131" s="370" t="s">
        <v>74</v>
      </c>
      <c r="C131" s="335">
        <v>46.662655000000008</v>
      </c>
      <c r="D131" s="336">
        <v>71.788700000000006</v>
      </c>
      <c r="E131" s="337">
        <v>62.291666666666664</v>
      </c>
      <c r="F131" s="335">
        <v>0.75</v>
      </c>
      <c r="G131" s="338">
        <f>Tabela3521[[#This Row],[ICM]]*$C$2</f>
        <v>30</v>
      </c>
      <c r="H131" s="339">
        <v>163.00349</v>
      </c>
      <c r="I131" s="340">
        <v>250.77459999999999</v>
      </c>
      <c r="J131" s="341">
        <v>219.54022988505747</v>
      </c>
      <c r="K131" s="341">
        <v>0.64413837178380762</v>
      </c>
      <c r="L131" s="342">
        <f>Tabela3521[[#This Row],[ICM    ]]*$H$2</f>
        <v>9.6620755767571147</v>
      </c>
      <c r="M131" s="340">
        <v>135.17698999999999</v>
      </c>
      <c r="N131" s="340">
        <v>207.96459999999999</v>
      </c>
      <c r="O131" s="341">
        <v>212.7906976744186</v>
      </c>
      <c r="P131" s="343">
        <v>1</v>
      </c>
      <c r="Q131" s="342">
        <f>Tabela3521[[#This Row],[ICM      ]]*$M$2</f>
        <v>15</v>
      </c>
      <c r="R131" s="344">
        <v>0.37916666666666665</v>
      </c>
      <c r="S131" s="345">
        <v>0</v>
      </c>
      <c r="T131" s="344">
        <f t="shared" si="6"/>
        <v>0</v>
      </c>
      <c r="U131" s="346">
        <v>87.2</v>
      </c>
      <c r="V131" s="346">
        <v>0.9</v>
      </c>
      <c r="W131" s="346">
        <f t="shared" si="7"/>
        <v>13.5</v>
      </c>
      <c r="X131" s="347">
        <f t="shared" si="8"/>
        <v>100</v>
      </c>
      <c r="Y131" s="348">
        <f t="shared" si="9"/>
        <v>68.162075576757118</v>
      </c>
      <c r="Z131" s="348">
        <f t="shared" si="10"/>
        <v>0.6816207557675712</v>
      </c>
    </row>
    <row r="132" spans="1:26" s="349" customFormat="1" ht="18.75">
      <c r="A132" s="334">
        <v>159</v>
      </c>
      <c r="B132" s="370" t="s">
        <v>86</v>
      </c>
      <c r="C132" s="335">
        <v>47.11694</v>
      </c>
      <c r="D132" s="336">
        <v>72.4876</v>
      </c>
      <c r="E132" s="337">
        <v>70.247591914258578</v>
      </c>
      <c r="F132" s="335">
        <v>0.7</v>
      </c>
      <c r="G132" s="338">
        <f>Tabela3521[[#This Row],[ICM]]*$C$2</f>
        <v>28</v>
      </c>
      <c r="H132" s="339">
        <v>164.476325</v>
      </c>
      <c r="I132" s="340">
        <v>253.04050000000001</v>
      </c>
      <c r="J132" s="341">
        <v>255.0802139037433</v>
      </c>
      <c r="K132" s="341">
        <v>1</v>
      </c>
      <c r="L132" s="342">
        <f>Tabela3521[[#This Row],[ICM    ]]*$H$2</f>
        <v>15</v>
      </c>
      <c r="M132" s="340">
        <v>142.96418499999999</v>
      </c>
      <c r="N132" s="340">
        <v>219.94489999999999</v>
      </c>
      <c r="O132" s="341">
        <v>264.8648648648649</v>
      </c>
      <c r="P132" s="343">
        <v>1</v>
      </c>
      <c r="Q132" s="342">
        <f>Tabela3521[[#This Row],[ICM      ]]*$M$2</f>
        <v>15</v>
      </c>
      <c r="R132" s="344">
        <v>0.5</v>
      </c>
      <c r="S132" s="345">
        <v>0.6</v>
      </c>
      <c r="T132" s="344">
        <f t="shared" ref="T132:T195" si="11">S132*$R$2</f>
        <v>9</v>
      </c>
      <c r="U132" s="346">
        <v>85.689655172413794</v>
      </c>
      <c r="V132" s="346">
        <v>0.9</v>
      </c>
      <c r="W132" s="346">
        <f t="shared" ref="W132:W195" si="12">V132*$U$2</f>
        <v>13.5</v>
      </c>
      <c r="X132" s="347">
        <f t="shared" ref="X132:X195" si="13">(IF(ISBLANK(E132),0,$C$2))+(IF(ISBLANK(J132),0,$H$2))+(IF(ISBLANK(O132),0,$M$2))+(IF(ISBLANK(R132),0,$R$2)+(IF(ISBLANK(U132),0,$U$2)))</f>
        <v>100</v>
      </c>
      <c r="Y132" s="348">
        <f t="shared" ref="Y132:Y195" si="14">SUM(G132,L132,Q132,T132,W132)</f>
        <v>80.5</v>
      </c>
      <c r="Z132" s="348">
        <f t="shared" ref="Z132:Z195" si="15">Y132/X132</f>
        <v>0.80500000000000005</v>
      </c>
    </row>
    <row r="133" spans="1:26" s="349" customFormat="1" ht="18.75">
      <c r="A133" s="334">
        <v>161</v>
      </c>
      <c r="B133" s="370" t="s">
        <v>225</v>
      </c>
      <c r="C133" s="335">
        <v>29.318574999999999</v>
      </c>
      <c r="D133" s="336">
        <v>45.105499999999999</v>
      </c>
      <c r="E133" s="337">
        <v>49.274865262126411</v>
      </c>
      <c r="F133" s="335">
        <v>1</v>
      </c>
      <c r="G133" s="338">
        <f>Tabela3521[[#This Row],[ICM]]*$C$2</f>
        <v>40</v>
      </c>
      <c r="H133" s="339">
        <v>159.814785</v>
      </c>
      <c r="I133" s="340">
        <v>245.8689</v>
      </c>
      <c r="J133" s="341">
        <v>253.96825396825395</v>
      </c>
      <c r="K133" s="341">
        <v>1</v>
      </c>
      <c r="L133" s="342">
        <f>Tabela3521[[#This Row],[ICM    ]]*$H$2</f>
        <v>15</v>
      </c>
      <c r="M133" s="340">
        <v>151.72729000000001</v>
      </c>
      <c r="N133" s="340">
        <v>233.42660000000001</v>
      </c>
      <c r="O133" s="341">
        <v>249.20634920634919</v>
      </c>
      <c r="P133" s="343">
        <v>1</v>
      </c>
      <c r="Q133" s="342">
        <f>Tabela3521[[#This Row],[ICM      ]]*$M$2</f>
        <v>15</v>
      </c>
      <c r="R133" s="344">
        <v>0</v>
      </c>
      <c r="S133" s="345">
        <v>0</v>
      </c>
      <c r="T133" s="344">
        <f t="shared" si="11"/>
        <v>0</v>
      </c>
      <c r="U133" s="346">
        <v>89.85507246376811</v>
      </c>
      <c r="V133" s="346">
        <v>0.9</v>
      </c>
      <c r="W133" s="346">
        <f t="shared" si="12"/>
        <v>13.5</v>
      </c>
      <c r="X133" s="347">
        <f t="shared" si="13"/>
        <v>100</v>
      </c>
      <c r="Y133" s="348">
        <f t="shared" si="14"/>
        <v>83.5</v>
      </c>
      <c r="Z133" s="348">
        <f t="shared" si="15"/>
        <v>0.83499999999999996</v>
      </c>
    </row>
    <row r="134" spans="1:26" s="349" customFormat="1" ht="18.75">
      <c r="A134" s="334">
        <v>162</v>
      </c>
      <c r="B134" s="370" t="s">
        <v>206</v>
      </c>
      <c r="C134" s="335">
        <v>43.530305000000006</v>
      </c>
      <c r="D134" s="336">
        <v>66.969700000000003</v>
      </c>
      <c r="E134" s="337">
        <v>62.876506024096379</v>
      </c>
      <c r="F134" s="335">
        <v>1</v>
      </c>
      <c r="G134" s="338">
        <f>Tabela3521[[#This Row],[ICM]]*$C$2</f>
        <v>40</v>
      </c>
      <c r="H134" s="339">
        <v>151.69791000000001</v>
      </c>
      <c r="I134" s="340">
        <v>233.38140000000001</v>
      </c>
      <c r="J134" s="341">
        <v>220.37037037037035</v>
      </c>
      <c r="K134" s="341">
        <v>0.84071408274022497</v>
      </c>
      <c r="L134" s="342">
        <f>Tabela3521[[#This Row],[ICM    ]]*$H$2</f>
        <v>12.610711241103374</v>
      </c>
      <c r="M134" s="340">
        <v>129.32465000000002</v>
      </c>
      <c r="N134" s="340">
        <v>198.96100000000001</v>
      </c>
      <c r="O134" s="341">
        <v>221.56862745098042</v>
      </c>
      <c r="P134" s="343">
        <v>1</v>
      </c>
      <c r="Q134" s="342">
        <f>Tabela3521[[#This Row],[ICM      ]]*$M$2</f>
        <v>15</v>
      </c>
      <c r="R134" s="344">
        <v>0.40869565217391307</v>
      </c>
      <c r="S134" s="345">
        <v>0.5</v>
      </c>
      <c r="T134" s="344">
        <f t="shared" si="11"/>
        <v>7.5</v>
      </c>
      <c r="U134" s="346">
        <v>93.548387096774192</v>
      </c>
      <c r="V134" s="346">
        <v>1</v>
      </c>
      <c r="W134" s="346">
        <f t="shared" si="12"/>
        <v>15</v>
      </c>
      <c r="X134" s="347">
        <f t="shared" si="13"/>
        <v>100</v>
      </c>
      <c r="Y134" s="348">
        <f t="shared" si="14"/>
        <v>90.110711241103374</v>
      </c>
      <c r="Z134" s="348">
        <f t="shared" si="15"/>
        <v>0.90110711241103369</v>
      </c>
    </row>
    <row r="135" spans="1:26" s="349" customFormat="1" ht="18.75">
      <c r="A135" s="334">
        <v>164</v>
      </c>
      <c r="B135" s="370" t="s">
        <v>127</v>
      </c>
      <c r="C135" s="335">
        <v>48.401795</v>
      </c>
      <c r="D135" s="336">
        <v>74.464299999999994</v>
      </c>
      <c r="E135" s="337">
        <v>78.63795518207283</v>
      </c>
      <c r="F135" s="335">
        <v>1</v>
      </c>
      <c r="G135" s="338">
        <f>Tabela3521[[#This Row],[ICM]]*$C$2</f>
        <v>40</v>
      </c>
      <c r="H135" s="339">
        <v>155.78257500000001</v>
      </c>
      <c r="I135" s="340">
        <v>239.66550000000001</v>
      </c>
      <c r="J135" s="341">
        <v>229.16666666666666</v>
      </c>
      <c r="K135" s="341">
        <v>0.87483944636726307</v>
      </c>
      <c r="L135" s="342">
        <f>Tabela3521[[#This Row],[ICM    ]]*$H$2</f>
        <v>13.122591695508946</v>
      </c>
      <c r="M135" s="340">
        <v>138.310835</v>
      </c>
      <c r="N135" s="340">
        <v>212.7859</v>
      </c>
      <c r="O135" s="341">
        <v>233.33333333333331</v>
      </c>
      <c r="P135" s="343">
        <v>1</v>
      </c>
      <c r="Q135" s="342">
        <f>Tabela3521[[#This Row],[ICM      ]]*$M$2</f>
        <v>15</v>
      </c>
      <c r="R135" s="344">
        <v>0.91647509578544062</v>
      </c>
      <c r="S135" s="345">
        <v>1</v>
      </c>
      <c r="T135" s="344">
        <f t="shared" si="11"/>
        <v>15</v>
      </c>
      <c r="U135" s="346">
        <v>81.38297872340425</v>
      </c>
      <c r="V135" s="346">
        <v>0.9</v>
      </c>
      <c r="W135" s="346">
        <f t="shared" si="12"/>
        <v>13.5</v>
      </c>
      <c r="X135" s="347">
        <f t="shared" si="13"/>
        <v>100</v>
      </c>
      <c r="Y135" s="348">
        <f t="shared" si="14"/>
        <v>96.622591695508945</v>
      </c>
      <c r="Z135" s="348">
        <f t="shared" si="15"/>
        <v>0.96622591695508941</v>
      </c>
    </row>
    <row r="136" spans="1:26" s="349" customFormat="1" ht="18.75">
      <c r="A136" s="334">
        <v>165</v>
      </c>
      <c r="B136" s="370" t="s">
        <v>16</v>
      </c>
      <c r="C136" s="335">
        <v>54.782195000000002</v>
      </c>
      <c r="D136" s="336">
        <v>84.280299999999997</v>
      </c>
      <c r="E136" s="337">
        <v>77.04845424749756</v>
      </c>
      <c r="F136" s="335">
        <v>0.8</v>
      </c>
      <c r="G136" s="338">
        <f>Tabela3521[[#This Row],[ICM]]*$C$2</f>
        <v>32</v>
      </c>
      <c r="H136" s="339">
        <v>195.18278000000001</v>
      </c>
      <c r="I136" s="340">
        <v>300.28120000000001</v>
      </c>
      <c r="J136" s="341">
        <v>271.96261682242988</v>
      </c>
      <c r="K136" s="341">
        <v>0.73055177063965249</v>
      </c>
      <c r="L136" s="342">
        <f>Tabela3521[[#This Row],[ICM    ]]*$H$2</f>
        <v>10.958276559594788</v>
      </c>
      <c r="M136" s="340">
        <v>198.76694499999999</v>
      </c>
      <c r="N136" s="340">
        <v>305.7953</v>
      </c>
      <c r="O136" s="341">
        <v>276.23762376237624</v>
      </c>
      <c r="P136" s="343">
        <v>0.7238332193592647</v>
      </c>
      <c r="Q136" s="342">
        <f>Tabela3521[[#This Row],[ICM      ]]*$M$2</f>
        <v>10.857498290388971</v>
      </c>
      <c r="R136" s="344">
        <v>0.5</v>
      </c>
      <c r="S136" s="345">
        <v>0.6</v>
      </c>
      <c r="T136" s="344">
        <f t="shared" si="11"/>
        <v>9</v>
      </c>
      <c r="U136" s="346">
        <v>89.700996677740861</v>
      </c>
      <c r="V136" s="346">
        <v>0.9</v>
      </c>
      <c r="W136" s="346">
        <f t="shared" si="12"/>
        <v>13.5</v>
      </c>
      <c r="X136" s="347">
        <f t="shared" si="13"/>
        <v>100</v>
      </c>
      <c r="Y136" s="348">
        <f t="shared" si="14"/>
        <v>76.315774849983754</v>
      </c>
      <c r="Z136" s="348">
        <f t="shared" si="15"/>
        <v>0.76315774849983753</v>
      </c>
    </row>
    <row r="137" spans="1:26" s="349" customFormat="1" ht="18.75">
      <c r="A137" s="334">
        <v>166</v>
      </c>
      <c r="B137" s="370" t="s">
        <v>72</v>
      </c>
      <c r="C137" s="335">
        <v>51.526344999999999</v>
      </c>
      <c r="D137" s="336">
        <v>79.271299999999997</v>
      </c>
      <c r="E137" s="337">
        <v>71.580296499477527</v>
      </c>
      <c r="F137" s="335">
        <v>0.7</v>
      </c>
      <c r="G137" s="338">
        <f>Tabela3521[[#This Row],[ICM]]*$C$2</f>
        <v>28</v>
      </c>
      <c r="H137" s="339">
        <v>183.60562999999999</v>
      </c>
      <c r="I137" s="340">
        <v>282.47019999999998</v>
      </c>
      <c r="J137" s="341">
        <v>277.98165137614683</v>
      </c>
      <c r="K137" s="341">
        <v>0.95459901738455799</v>
      </c>
      <c r="L137" s="342">
        <f>Tabela3521[[#This Row],[ICM    ]]*$H$2</f>
        <v>14.31898526076837</v>
      </c>
      <c r="M137" s="340">
        <v>151.87659500000001</v>
      </c>
      <c r="N137" s="340">
        <v>233.65629999999999</v>
      </c>
      <c r="O137" s="341">
        <v>277.57009345794393</v>
      </c>
      <c r="P137" s="343">
        <v>1</v>
      </c>
      <c r="Q137" s="342">
        <f>Tabela3521[[#This Row],[ICM      ]]*$M$2</f>
        <v>15</v>
      </c>
      <c r="R137" s="344">
        <v>0.3061871616395978</v>
      </c>
      <c r="S137" s="345">
        <v>0</v>
      </c>
      <c r="T137" s="344">
        <f t="shared" si="11"/>
        <v>0</v>
      </c>
      <c r="U137" s="346">
        <v>73.217115689381927</v>
      </c>
      <c r="V137" s="346">
        <v>0.8</v>
      </c>
      <c r="W137" s="346">
        <f t="shared" si="12"/>
        <v>12</v>
      </c>
      <c r="X137" s="347">
        <f t="shared" si="13"/>
        <v>100</v>
      </c>
      <c r="Y137" s="348">
        <f t="shared" si="14"/>
        <v>69.318985260768372</v>
      </c>
      <c r="Z137" s="348">
        <f t="shared" si="15"/>
        <v>0.69318985260768373</v>
      </c>
    </row>
    <row r="138" spans="1:26" s="349" customFormat="1" ht="18.75">
      <c r="A138" s="334">
        <v>169</v>
      </c>
      <c r="B138" s="370" t="s">
        <v>108</v>
      </c>
      <c r="C138" s="335">
        <v>49.548980000000007</v>
      </c>
      <c r="D138" s="336">
        <v>76.229200000000006</v>
      </c>
      <c r="E138" s="337">
        <v>74.307545367717282</v>
      </c>
      <c r="F138" s="335">
        <v>0.9</v>
      </c>
      <c r="G138" s="338">
        <f>Tabela3521[[#This Row],[ICM]]*$C$2</f>
        <v>36</v>
      </c>
      <c r="H138" s="339">
        <v>166.96608500000002</v>
      </c>
      <c r="I138" s="340">
        <v>256.87090000000001</v>
      </c>
      <c r="J138" s="341">
        <v>245.37815126050418</v>
      </c>
      <c r="K138" s="341">
        <v>0.87216759481129214</v>
      </c>
      <c r="L138" s="342">
        <f>Tabela3521[[#This Row],[ICM    ]]*$H$2</f>
        <v>13.082513922169381</v>
      </c>
      <c r="M138" s="340">
        <v>138.50356000000002</v>
      </c>
      <c r="N138" s="340">
        <v>213.08240000000001</v>
      </c>
      <c r="O138" s="341">
        <v>229.20353982300884</v>
      </c>
      <c r="P138" s="343">
        <v>1</v>
      </c>
      <c r="Q138" s="342">
        <f>Tabela3521[[#This Row],[ICM      ]]*$M$2</f>
        <v>15</v>
      </c>
      <c r="R138" s="344">
        <v>0.62140138552227231</v>
      </c>
      <c r="S138" s="345">
        <v>0.7</v>
      </c>
      <c r="T138" s="344">
        <f t="shared" si="11"/>
        <v>10.5</v>
      </c>
      <c r="U138" s="346">
        <v>66.865079365079367</v>
      </c>
      <c r="V138" s="346">
        <v>0.7</v>
      </c>
      <c r="W138" s="346">
        <f t="shared" si="12"/>
        <v>10.5</v>
      </c>
      <c r="X138" s="347">
        <f t="shared" si="13"/>
        <v>100</v>
      </c>
      <c r="Y138" s="348">
        <f t="shared" si="14"/>
        <v>85.082513922169383</v>
      </c>
      <c r="Z138" s="348">
        <f t="shared" si="15"/>
        <v>0.85082513922169378</v>
      </c>
    </row>
    <row r="139" spans="1:26" s="349" customFormat="1" ht="18.75">
      <c r="A139" s="334">
        <v>170</v>
      </c>
      <c r="B139" s="370" t="s">
        <v>18</v>
      </c>
      <c r="C139" s="335">
        <v>53.509235000000004</v>
      </c>
      <c r="D139" s="336">
        <v>82.321899999999999</v>
      </c>
      <c r="E139" s="337">
        <v>74.358552631578959</v>
      </c>
      <c r="F139" s="335">
        <v>0.9</v>
      </c>
      <c r="G139" s="338">
        <f>Tabela3521[[#This Row],[ICM]]*$C$2</f>
        <v>36</v>
      </c>
      <c r="H139" s="339">
        <v>152.95910499999999</v>
      </c>
      <c r="I139" s="340">
        <v>235.32169999999999</v>
      </c>
      <c r="J139" s="341">
        <v>257.06521739130437</v>
      </c>
      <c r="K139" s="341">
        <v>1</v>
      </c>
      <c r="L139" s="342">
        <f>Tabela3521[[#This Row],[ICM    ]]*$H$2</f>
        <v>15</v>
      </c>
      <c r="M139" s="340">
        <v>131.73784000000001</v>
      </c>
      <c r="N139" s="340">
        <v>202.67359999999999</v>
      </c>
      <c r="O139" s="341">
        <v>212.22222222222223</v>
      </c>
      <c r="P139" s="343">
        <v>1</v>
      </c>
      <c r="Q139" s="342">
        <f>Tabela3521[[#This Row],[ICM      ]]*$M$2</f>
        <v>15</v>
      </c>
      <c r="R139" s="344">
        <v>0</v>
      </c>
      <c r="S139" s="345">
        <v>0</v>
      </c>
      <c r="T139" s="344">
        <f t="shared" si="11"/>
        <v>0</v>
      </c>
      <c r="U139" s="346">
        <v>87.087912087912088</v>
      </c>
      <c r="V139" s="346">
        <v>0.9</v>
      </c>
      <c r="W139" s="346">
        <f t="shared" si="12"/>
        <v>13.5</v>
      </c>
      <c r="X139" s="347">
        <f t="shared" si="13"/>
        <v>100</v>
      </c>
      <c r="Y139" s="348">
        <f t="shared" si="14"/>
        <v>79.5</v>
      </c>
      <c r="Z139" s="348">
        <f t="shared" si="15"/>
        <v>0.79500000000000004</v>
      </c>
    </row>
    <row r="140" spans="1:26" s="349" customFormat="1" ht="18.75">
      <c r="A140" s="334">
        <v>172</v>
      </c>
      <c r="B140" s="370" t="s">
        <v>87</v>
      </c>
      <c r="C140" s="335">
        <v>48.561435000000003</v>
      </c>
      <c r="D140" s="336">
        <v>74.709900000000005</v>
      </c>
      <c r="E140" s="337">
        <v>79.245176788529378</v>
      </c>
      <c r="F140" s="335">
        <v>1</v>
      </c>
      <c r="G140" s="338">
        <f>Tabela3521[[#This Row],[ICM]]*$C$2</f>
        <v>40</v>
      </c>
      <c r="H140" s="339">
        <v>160.38288499999999</v>
      </c>
      <c r="I140" s="340">
        <v>246.74289999999999</v>
      </c>
      <c r="J140" s="341">
        <v>236.41618497109829</v>
      </c>
      <c r="K140" s="341">
        <v>0.88042249611812018</v>
      </c>
      <c r="L140" s="342">
        <f>Tabela3521[[#This Row],[ICM    ]]*$H$2</f>
        <v>13.206337441771803</v>
      </c>
      <c r="M140" s="340">
        <v>123.86172500000001</v>
      </c>
      <c r="N140" s="340">
        <v>190.5565</v>
      </c>
      <c r="O140" s="341">
        <v>216.76300578034682</v>
      </c>
      <c r="P140" s="343">
        <v>1</v>
      </c>
      <c r="Q140" s="342">
        <f>Tabela3521[[#This Row],[ICM      ]]*$M$2</f>
        <v>15</v>
      </c>
      <c r="R140" s="344">
        <v>0</v>
      </c>
      <c r="S140" s="345">
        <v>0</v>
      </c>
      <c r="T140" s="344">
        <f t="shared" si="11"/>
        <v>0</v>
      </c>
      <c r="U140" s="346">
        <v>71.481481481481481</v>
      </c>
      <c r="V140" s="346">
        <v>0.8</v>
      </c>
      <c r="W140" s="346">
        <f t="shared" si="12"/>
        <v>12</v>
      </c>
      <c r="X140" s="347">
        <f t="shared" si="13"/>
        <v>100</v>
      </c>
      <c r="Y140" s="348">
        <f t="shared" si="14"/>
        <v>80.206337441771808</v>
      </c>
      <c r="Z140" s="348">
        <f t="shared" si="15"/>
        <v>0.80206337441771813</v>
      </c>
    </row>
    <row r="141" spans="1:26" s="349" customFormat="1" ht="18.75">
      <c r="A141" s="334">
        <v>179</v>
      </c>
      <c r="B141" s="370" t="s">
        <v>186</v>
      </c>
      <c r="C141" s="335">
        <v>42.471325000000007</v>
      </c>
      <c r="D141" s="336">
        <v>65.340500000000006</v>
      </c>
      <c r="E141" s="337">
        <v>69.68586968586969</v>
      </c>
      <c r="F141" s="335">
        <v>1</v>
      </c>
      <c r="G141" s="338">
        <f>Tabela3521[[#This Row],[ICM]]*$C$2</f>
        <v>40</v>
      </c>
      <c r="H141" s="339">
        <v>142.92531500000001</v>
      </c>
      <c r="I141" s="340">
        <v>219.88509999999999</v>
      </c>
      <c r="J141" s="341">
        <v>208.51063829787233</v>
      </c>
      <c r="K141" s="341">
        <v>0.85220252756517367</v>
      </c>
      <c r="L141" s="342">
        <f>Tabela3521[[#This Row],[ICM    ]]*$H$2</f>
        <v>12.783037913477605</v>
      </c>
      <c r="M141" s="340">
        <v>144.55259000000001</v>
      </c>
      <c r="N141" s="340">
        <v>222.3886</v>
      </c>
      <c r="O141" s="341">
        <v>228.42105263157896</v>
      </c>
      <c r="P141" s="343">
        <v>1</v>
      </c>
      <c r="Q141" s="342">
        <f>Tabela3521[[#This Row],[ICM      ]]*$M$2</f>
        <v>15</v>
      </c>
      <c r="R141" s="344">
        <v>0.5</v>
      </c>
      <c r="S141" s="345">
        <v>0.6</v>
      </c>
      <c r="T141" s="344">
        <f t="shared" si="11"/>
        <v>9</v>
      </c>
      <c r="U141" s="346">
        <v>80.737704918032776</v>
      </c>
      <c r="V141" s="346">
        <v>0.9</v>
      </c>
      <c r="W141" s="346">
        <f t="shared" si="12"/>
        <v>13.5</v>
      </c>
      <c r="X141" s="347">
        <f t="shared" si="13"/>
        <v>100</v>
      </c>
      <c r="Y141" s="348">
        <f t="shared" si="14"/>
        <v>90.283037913477614</v>
      </c>
      <c r="Z141" s="348">
        <f t="shared" si="15"/>
        <v>0.90283037913477615</v>
      </c>
    </row>
    <row r="142" spans="1:26" s="349" customFormat="1" ht="18.75">
      <c r="A142" s="334">
        <v>180</v>
      </c>
      <c r="B142" s="370" t="s">
        <v>167</v>
      </c>
      <c r="C142" s="335">
        <v>40.387880000000003</v>
      </c>
      <c r="D142" s="336">
        <v>62.135199999999998</v>
      </c>
      <c r="E142" s="337">
        <v>69.209176512618981</v>
      </c>
      <c r="F142" s="335">
        <v>1</v>
      </c>
      <c r="G142" s="338">
        <f>Tabela3521[[#This Row],[ICM]]*$C$2</f>
        <v>40</v>
      </c>
      <c r="H142" s="339">
        <v>190.18759499999999</v>
      </c>
      <c r="I142" s="340">
        <v>292.59629999999999</v>
      </c>
      <c r="J142" s="341">
        <v>274.50980392156862</v>
      </c>
      <c r="K142" s="341">
        <v>0.82338907538737682</v>
      </c>
      <c r="L142" s="342">
        <f>Tabela3521[[#This Row],[ICM    ]]*$H$2</f>
        <v>12.350836130810652</v>
      </c>
      <c r="M142" s="340">
        <v>143.73319999999998</v>
      </c>
      <c r="N142" s="340">
        <v>221.12799999999999</v>
      </c>
      <c r="O142" s="341">
        <v>272</v>
      </c>
      <c r="P142" s="343">
        <v>1</v>
      </c>
      <c r="Q142" s="342">
        <f>Tabela3521[[#This Row],[ICM      ]]*$M$2</f>
        <v>15</v>
      </c>
      <c r="R142" s="344">
        <v>0</v>
      </c>
      <c r="S142" s="345">
        <v>0</v>
      </c>
      <c r="T142" s="344">
        <f t="shared" si="11"/>
        <v>0</v>
      </c>
      <c r="U142" s="346">
        <v>87.562189054726375</v>
      </c>
      <c r="V142" s="346">
        <v>0.9</v>
      </c>
      <c r="W142" s="346">
        <f t="shared" si="12"/>
        <v>13.5</v>
      </c>
      <c r="X142" s="347">
        <f t="shared" si="13"/>
        <v>100</v>
      </c>
      <c r="Y142" s="348">
        <f t="shared" si="14"/>
        <v>80.850836130810649</v>
      </c>
      <c r="Z142" s="348">
        <f t="shared" si="15"/>
        <v>0.80850836130810644</v>
      </c>
    </row>
    <row r="143" spans="1:26" s="349" customFormat="1" ht="18.75">
      <c r="A143" s="334">
        <v>181</v>
      </c>
      <c r="B143" s="370" t="s">
        <v>89</v>
      </c>
      <c r="C143" s="335">
        <v>49.307310000000001</v>
      </c>
      <c r="D143" s="336">
        <v>75.857399999999998</v>
      </c>
      <c r="E143" s="337">
        <v>69.737179487179489</v>
      </c>
      <c r="F143" s="335">
        <v>1</v>
      </c>
      <c r="G143" s="338">
        <f>Tabela3521[[#This Row],[ICM]]*$C$2</f>
        <v>40</v>
      </c>
      <c r="H143" s="339">
        <v>157.49649500000001</v>
      </c>
      <c r="I143" s="340">
        <v>242.3023</v>
      </c>
      <c r="J143" s="341">
        <v>261.76470588235293</v>
      </c>
      <c r="K143" s="341">
        <v>1</v>
      </c>
      <c r="L143" s="342">
        <f>Tabela3521[[#This Row],[ICM    ]]*$H$2</f>
        <v>15</v>
      </c>
      <c r="M143" s="340">
        <v>137.39290500000001</v>
      </c>
      <c r="N143" s="340">
        <v>211.37370000000001</v>
      </c>
      <c r="O143" s="341">
        <v>237.89473684210526</v>
      </c>
      <c r="P143" s="343">
        <v>1</v>
      </c>
      <c r="Q143" s="342">
        <f>Tabela3521[[#This Row],[ICM      ]]*$M$2</f>
        <v>15</v>
      </c>
      <c r="R143" s="344">
        <v>0.32218524681087074</v>
      </c>
      <c r="S143" s="345">
        <v>0</v>
      </c>
      <c r="T143" s="344">
        <f t="shared" si="11"/>
        <v>0</v>
      </c>
      <c r="U143" s="346">
        <v>77.777777777777786</v>
      </c>
      <c r="V143" s="346">
        <v>0.8</v>
      </c>
      <c r="W143" s="346">
        <f t="shared" si="12"/>
        <v>12</v>
      </c>
      <c r="X143" s="347">
        <f t="shared" si="13"/>
        <v>100</v>
      </c>
      <c r="Y143" s="348">
        <f t="shared" si="14"/>
        <v>82</v>
      </c>
      <c r="Z143" s="348">
        <f t="shared" si="15"/>
        <v>0.82</v>
      </c>
    </row>
    <row r="144" spans="1:26" s="349" customFormat="1" ht="18.75">
      <c r="A144" s="334">
        <v>185</v>
      </c>
      <c r="B144" s="370" t="s">
        <v>162</v>
      </c>
      <c r="C144" s="335">
        <v>49.604945000000001</v>
      </c>
      <c r="D144" s="336">
        <v>76.315299999999993</v>
      </c>
      <c r="E144" s="337">
        <v>81.385281385281388</v>
      </c>
      <c r="F144" s="335">
        <v>1</v>
      </c>
      <c r="G144" s="338">
        <f>Tabela3521[[#This Row],[ICM]]*$C$2</f>
        <v>40</v>
      </c>
      <c r="H144" s="339">
        <v>143.021905</v>
      </c>
      <c r="I144" s="340">
        <v>220.03370000000001</v>
      </c>
      <c r="J144" s="341">
        <v>243.04635761589404</v>
      </c>
      <c r="K144" s="341">
        <v>1</v>
      </c>
      <c r="L144" s="342">
        <f>Tabela3521[[#This Row],[ICM    ]]*$H$2</f>
        <v>15</v>
      </c>
      <c r="M144" s="340">
        <v>135.73397499999999</v>
      </c>
      <c r="N144" s="340">
        <v>208.82149999999999</v>
      </c>
      <c r="O144" s="341">
        <v>238.46153846153845</v>
      </c>
      <c r="P144" s="343">
        <v>1</v>
      </c>
      <c r="Q144" s="342">
        <f>Tabela3521[[#This Row],[ICM      ]]*$M$2</f>
        <v>15</v>
      </c>
      <c r="R144" s="344">
        <v>0</v>
      </c>
      <c r="S144" s="345">
        <v>0</v>
      </c>
      <c r="T144" s="344">
        <f t="shared" si="11"/>
        <v>0</v>
      </c>
      <c r="U144" s="346">
        <v>94.117647058823522</v>
      </c>
      <c r="V144" s="346">
        <v>1</v>
      </c>
      <c r="W144" s="346">
        <f t="shared" si="12"/>
        <v>15</v>
      </c>
      <c r="X144" s="347">
        <f t="shared" si="13"/>
        <v>100</v>
      </c>
      <c r="Y144" s="348">
        <f t="shared" si="14"/>
        <v>85</v>
      </c>
      <c r="Z144" s="348">
        <f t="shared" si="15"/>
        <v>0.85</v>
      </c>
    </row>
    <row r="145" spans="1:26" s="349" customFormat="1" ht="18.75">
      <c r="A145" s="334">
        <v>186</v>
      </c>
      <c r="B145" s="370" t="s">
        <v>97</v>
      </c>
      <c r="C145" s="335">
        <v>43.446845000000003</v>
      </c>
      <c r="D145" s="336">
        <v>66.841300000000004</v>
      </c>
      <c r="E145" s="337">
        <v>58.479023556118982</v>
      </c>
      <c r="F145" s="335">
        <v>0.75</v>
      </c>
      <c r="G145" s="338">
        <f>Tabela3521[[#This Row],[ICM]]*$C$2</f>
        <v>30</v>
      </c>
      <c r="H145" s="339">
        <v>156.61535499999999</v>
      </c>
      <c r="I145" s="340">
        <v>240.94669999999999</v>
      </c>
      <c r="J145" s="341">
        <v>235.18518518518519</v>
      </c>
      <c r="K145" s="341">
        <v>0.93168003172705471</v>
      </c>
      <c r="L145" s="342">
        <f>Tabela3521[[#This Row],[ICM    ]]*$H$2</f>
        <v>13.975200475905821</v>
      </c>
      <c r="M145" s="340">
        <v>131.250665</v>
      </c>
      <c r="N145" s="340">
        <v>201.92410000000001</v>
      </c>
      <c r="O145" s="341">
        <v>253</v>
      </c>
      <c r="P145" s="343">
        <v>1</v>
      </c>
      <c r="Q145" s="342">
        <f>Tabela3521[[#This Row],[ICM      ]]*$M$2</f>
        <v>15</v>
      </c>
      <c r="R145" s="344">
        <v>0.80666938545032463</v>
      </c>
      <c r="S145" s="345">
        <v>1</v>
      </c>
      <c r="T145" s="344">
        <f t="shared" si="11"/>
        <v>15</v>
      </c>
      <c r="U145" s="346">
        <v>62.31343283582089</v>
      </c>
      <c r="V145" s="346">
        <v>0.7</v>
      </c>
      <c r="W145" s="346">
        <f t="shared" si="12"/>
        <v>10.5</v>
      </c>
      <c r="X145" s="347">
        <f t="shared" si="13"/>
        <v>100</v>
      </c>
      <c r="Y145" s="348">
        <f t="shared" si="14"/>
        <v>84.475200475905822</v>
      </c>
      <c r="Z145" s="348">
        <f t="shared" si="15"/>
        <v>0.84475200475905821</v>
      </c>
    </row>
    <row r="146" spans="1:26" s="349" customFormat="1" ht="18.75">
      <c r="A146" s="334">
        <v>187</v>
      </c>
      <c r="B146" s="370" t="s">
        <v>51</v>
      </c>
      <c r="C146" s="335">
        <v>54.24653</v>
      </c>
      <c r="D146" s="336">
        <v>83.456199999999995</v>
      </c>
      <c r="E146" s="337">
        <v>72.291666666666671</v>
      </c>
      <c r="F146" s="335">
        <v>0.85</v>
      </c>
      <c r="G146" s="338">
        <f>Tabela3521[[#This Row],[ICM]]*$C$2</f>
        <v>34</v>
      </c>
      <c r="H146" s="339">
        <v>181.69007999999999</v>
      </c>
      <c r="I146" s="340">
        <v>279.52319999999997</v>
      </c>
      <c r="J146" s="341">
        <v>232.57575757575756</v>
      </c>
      <c r="K146" s="341">
        <v>0.52012731042164018</v>
      </c>
      <c r="L146" s="342">
        <f>Tabela3521[[#This Row],[ICM    ]]*$H$2</f>
        <v>7.8019096563246029</v>
      </c>
      <c r="M146" s="340">
        <v>163.16742000000002</v>
      </c>
      <c r="N146" s="340">
        <v>251.02680000000001</v>
      </c>
      <c r="O146" s="341">
        <v>211.71875</v>
      </c>
      <c r="P146" s="343">
        <v>0.55260269307614029</v>
      </c>
      <c r="Q146" s="342">
        <f>Tabela3521[[#This Row],[ICM      ]]*$M$2</f>
        <v>8.289040396142104</v>
      </c>
      <c r="R146" s="344">
        <v>0.80775193798449618</v>
      </c>
      <c r="S146" s="345">
        <v>1</v>
      </c>
      <c r="T146" s="344">
        <f t="shared" si="11"/>
        <v>15</v>
      </c>
      <c r="U146" s="346">
        <v>92.307692307692307</v>
      </c>
      <c r="V146" s="346">
        <v>1</v>
      </c>
      <c r="W146" s="346">
        <f t="shared" si="12"/>
        <v>15</v>
      </c>
      <c r="X146" s="347">
        <f t="shared" si="13"/>
        <v>100</v>
      </c>
      <c r="Y146" s="348">
        <f t="shared" si="14"/>
        <v>80.09095005246671</v>
      </c>
      <c r="Z146" s="348">
        <f t="shared" si="15"/>
        <v>0.80090950052466714</v>
      </c>
    </row>
    <row r="147" spans="1:26" s="349" customFormat="1" ht="18.75">
      <c r="A147" s="334">
        <v>188</v>
      </c>
      <c r="B147" s="370" t="s">
        <v>7</v>
      </c>
      <c r="C147" s="335">
        <v>60.9375</v>
      </c>
      <c r="D147" s="336">
        <v>93.75</v>
      </c>
      <c r="E147" s="337">
        <v>94.067796610169495</v>
      </c>
      <c r="F147" s="335">
        <v>1</v>
      </c>
      <c r="G147" s="338">
        <f>Tabela3521[[#This Row],[ICM]]*$C$2</f>
        <v>40</v>
      </c>
      <c r="H147" s="339">
        <v>154.18071499999999</v>
      </c>
      <c r="I147" s="340">
        <v>237.2011</v>
      </c>
      <c r="J147" s="341">
        <v>225.64102564102564</v>
      </c>
      <c r="K147" s="341">
        <v>0.86075619428921746</v>
      </c>
      <c r="L147" s="342">
        <f>Tabela3521[[#This Row],[ICM    ]]*$H$2</f>
        <v>12.911342914338261</v>
      </c>
      <c r="M147" s="340">
        <v>128.579815</v>
      </c>
      <c r="N147" s="340">
        <v>197.8151</v>
      </c>
      <c r="O147" s="341">
        <v>223.07692307692309</v>
      </c>
      <c r="P147" s="343">
        <v>1</v>
      </c>
      <c r="Q147" s="342">
        <f>Tabela3521[[#This Row],[ICM      ]]*$M$2</f>
        <v>15</v>
      </c>
      <c r="R147" s="344">
        <v>0.5</v>
      </c>
      <c r="S147" s="345">
        <v>0.6</v>
      </c>
      <c r="T147" s="344">
        <f t="shared" si="11"/>
        <v>9</v>
      </c>
      <c r="U147" s="346">
        <v>75.9375</v>
      </c>
      <c r="V147" s="346">
        <v>0.8</v>
      </c>
      <c r="W147" s="346">
        <f t="shared" si="12"/>
        <v>12</v>
      </c>
      <c r="X147" s="347">
        <f t="shared" si="13"/>
        <v>100</v>
      </c>
      <c r="Y147" s="348">
        <f t="shared" si="14"/>
        <v>88.911342914338263</v>
      </c>
      <c r="Z147" s="348">
        <f t="shared" si="15"/>
        <v>0.88911342914338265</v>
      </c>
    </row>
    <row r="148" spans="1:26" s="349" customFormat="1" ht="18.75">
      <c r="A148" s="334">
        <v>190</v>
      </c>
      <c r="B148" s="370" t="s">
        <v>113</v>
      </c>
      <c r="C148" s="335">
        <v>42.594045000000008</v>
      </c>
      <c r="D148" s="336">
        <v>65.529300000000006</v>
      </c>
      <c r="E148" s="337">
        <v>69.511100856278517</v>
      </c>
      <c r="F148" s="335">
        <v>1</v>
      </c>
      <c r="G148" s="338">
        <f>Tabela3521[[#This Row],[ICM]]*$C$2</f>
        <v>40</v>
      </c>
      <c r="H148" s="339">
        <v>172.753165</v>
      </c>
      <c r="I148" s="340">
        <v>265.77409999999998</v>
      </c>
      <c r="J148" s="341">
        <v>266.43835616438355</v>
      </c>
      <c r="K148" s="341">
        <v>1</v>
      </c>
      <c r="L148" s="342">
        <f>Tabela3521[[#This Row],[ICM    ]]*$H$2</f>
        <v>15</v>
      </c>
      <c r="M148" s="340">
        <v>153.51557</v>
      </c>
      <c r="N148" s="340">
        <v>236.17779999999999</v>
      </c>
      <c r="O148" s="341">
        <v>264.13793103448279</v>
      </c>
      <c r="P148" s="343">
        <v>1</v>
      </c>
      <c r="Q148" s="342">
        <f>Tabela3521[[#This Row],[ICM      ]]*$M$2</f>
        <v>15</v>
      </c>
      <c r="R148" s="344">
        <v>0.3</v>
      </c>
      <c r="S148" s="345">
        <v>0</v>
      </c>
      <c r="T148" s="344">
        <f t="shared" si="11"/>
        <v>0</v>
      </c>
      <c r="U148" s="346">
        <v>82.489451476793249</v>
      </c>
      <c r="V148" s="346">
        <v>0.9</v>
      </c>
      <c r="W148" s="346">
        <f t="shared" si="12"/>
        <v>13.5</v>
      </c>
      <c r="X148" s="347">
        <f t="shared" si="13"/>
        <v>100</v>
      </c>
      <c r="Y148" s="348">
        <f t="shared" si="14"/>
        <v>83.5</v>
      </c>
      <c r="Z148" s="348">
        <f t="shared" si="15"/>
        <v>0.83499999999999996</v>
      </c>
    </row>
    <row r="149" spans="1:26" s="349" customFormat="1" ht="18.75">
      <c r="A149" s="334">
        <v>191</v>
      </c>
      <c r="B149" s="370" t="s">
        <v>34</v>
      </c>
      <c r="C149" s="335">
        <v>60.674835000000002</v>
      </c>
      <c r="D149" s="336">
        <v>93.3459</v>
      </c>
      <c r="E149" s="337">
        <v>92.211055276381913</v>
      </c>
      <c r="F149" s="335">
        <v>0.95</v>
      </c>
      <c r="G149" s="338">
        <f>Tabela3521[[#This Row],[ICM]]*$C$2</f>
        <v>38</v>
      </c>
      <c r="H149" s="339">
        <v>143.73417500000002</v>
      </c>
      <c r="I149" s="340">
        <v>221.12950000000001</v>
      </c>
      <c r="J149" s="341">
        <v>220.37037037037038</v>
      </c>
      <c r="K149" s="341">
        <v>0.9901915312116123</v>
      </c>
      <c r="L149" s="342">
        <f>Tabela3521[[#This Row],[ICM    ]]*$H$2</f>
        <v>14.852872968174184</v>
      </c>
      <c r="M149" s="340">
        <v>141.90735000000001</v>
      </c>
      <c r="N149" s="340">
        <v>218.31899999999999</v>
      </c>
      <c r="O149" s="341">
        <v>221.2962962962963</v>
      </c>
      <c r="P149" s="343">
        <v>1</v>
      </c>
      <c r="Q149" s="342">
        <f>Tabela3521[[#This Row],[ICM      ]]*$M$2</f>
        <v>15</v>
      </c>
      <c r="R149" s="344">
        <v>0.5</v>
      </c>
      <c r="S149" s="345">
        <v>0.6</v>
      </c>
      <c r="T149" s="344">
        <f t="shared" si="11"/>
        <v>9</v>
      </c>
      <c r="U149" s="346">
        <v>89.423076923076934</v>
      </c>
      <c r="V149" s="346">
        <v>0.9</v>
      </c>
      <c r="W149" s="346">
        <f t="shared" si="12"/>
        <v>13.5</v>
      </c>
      <c r="X149" s="347">
        <f t="shared" si="13"/>
        <v>100</v>
      </c>
      <c r="Y149" s="348">
        <f t="shared" si="14"/>
        <v>90.352872968174182</v>
      </c>
      <c r="Z149" s="348">
        <f t="shared" si="15"/>
        <v>0.9035287296817418</v>
      </c>
    </row>
    <row r="150" spans="1:26" s="349" customFormat="1" ht="18.75">
      <c r="A150" s="334">
        <v>193</v>
      </c>
      <c r="B150" s="370" t="s">
        <v>132</v>
      </c>
      <c r="C150" s="335">
        <v>45.428825000000003</v>
      </c>
      <c r="D150" s="336">
        <v>69.890500000000003</v>
      </c>
      <c r="E150" s="337">
        <v>77.217920353982294</v>
      </c>
      <c r="F150" s="335">
        <v>1</v>
      </c>
      <c r="G150" s="338">
        <f>Tabela3521[[#This Row],[ICM]]*$C$2</f>
        <v>40</v>
      </c>
      <c r="H150" s="339">
        <v>168.90432000000001</v>
      </c>
      <c r="I150" s="340">
        <v>259.8528</v>
      </c>
      <c r="J150" s="341">
        <v>234.8623853211009</v>
      </c>
      <c r="K150" s="341">
        <v>0.72522449326366867</v>
      </c>
      <c r="L150" s="342">
        <f>Tabela3521[[#This Row],[ICM    ]]*$H$2</f>
        <v>10.87836739895503</v>
      </c>
      <c r="M150" s="340">
        <v>154.27710999999999</v>
      </c>
      <c r="N150" s="340">
        <v>237.3494</v>
      </c>
      <c r="O150" s="341">
        <v>264.22018348623857</v>
      </c>
      <c r="P150" s="343">
        <v>1</v>
      </c>
      <c r="Q150" s="342">
        <f>Tabela3521[[#This Row],[ICM      ]]*$M$2</f>
        <v>15</v>
      </c>
      <c r="R150" s="344">
        <v>0.5</v>
      </c>
      <c r="S150" s="345">
        <v>0.6</v>
      </c>
      <c r="T150" s="344">
        <f t="shared" si="11"/>
        <v>9</v>
      </c>
      <c r="U150" s="346">
        <v>91.856677524429969</v>
      </c>
      <c r="V150" s="346">
        <v>1</v>
      </c>
      <c r="W150" s="346">
        <f t="shared" si="12"/>
        <v>15</v>
      </c>
      <c r="X150" s="347">
        <f t="shared" si="13"/>
        <v>100</v>
      </c>
      <c r="Y150" s="348">
        <f t="shared" si="14"/>
        <v>89.878367398955021</v>
      </c>
      <c r="Z150" s="348">
        <f t="shared" si="15"/>
        <v>0.89878367398955017</v>
      </c>
    </row>
    <row r="151" spans="1:26" s="349" customFormat="1" ht="18.75">
      <c r="A151" s="334">
        <v>194</v>
      </c>
      <c r="B151" s="370" t="s">
        <v>99</v>
      </c>
      <c r="C151" s="335">
        <v>43.897360000000006</v>
      </c>
      <c r="D151" s="336">
        <v>67.534400000000005</v>
      </c>
      <c r="E151" s="337">
        <v>65.75</v>
      </c>
      <c r="F151" s="335">
        <v>1</v>
      </c>
      <c r="G151" s="338">
        <f>Tabela3521[[#This Row],[ICM]]*$C$2</f>
        <v>40</v>
      </c>
      <c r="H151" s="339">
        <v>192.05095000000003</v>
      </c>
      <c r="I151" s="340">
        <v>295.46300000000002</v>
      </c>
      <c r="J151" s="341">
        <v>261.97183098591552</v>
      </c>
      <c r="K151" s="341">
        <v>0.67613862200696628</v>
      </c>
      <c r="L151" s="342">
        <f>Tabela3521[[#This Row],[ICM    ]]*$H$2</f>
        <v>10.142079330104494</v>
      </c>
      <c r="M151" s="340">
        <v>169.91299000000001</v>
      </c>
      <c r="N151" s="340">
        <v>261.40460000000002</v>
      </c>
      <c r="O151" s="341">
        <v>238.02816901408451</v>
      </c>
      <c r="P151" s="343">
        <v>0.74449645179579305</v>
      </c>
      <c r="Q151" s="342">
        <f>Tabela3521[[#This Row],[ICM      ]]*$M$2</f>
        <v>11.167446776936895</v>
      </c>
      <c r="R151" s="344">
        <v>0.86950160036579782</v>
      </c>
      <c r="S151" s="345">
        <v>1</v>
      </c>
      <c r="T151" s="344">
        <f t="shared" si="11"/>
        <v>15</v>
      </c>
      <c r="U151" s="346">
        <v>80.176199999999994</v>
      </c>
      <c r="V151" s="346">
        <v>0.9</v>
      </c>
      <c r="W151" s="346">
        <f t="shared" si="12"/>
        <v>13.5</v>
      </c>
      <c r="X151" s="347">
        <f t="shared" si="13"/>
        <v>100</v>
      </c>
      <c r="Y151" s="348">
        <f t="shared" si="14"/>
        <v>89.809526107041393</v>
      </c>
      <c r="Z151" s="348">
        <f t="shared" si="15"/>
        <v>0.89809526107041393</v>
      </c>
    </row>
    <row r="152" spans="1:26" s="349" customFormat="1" ht="18.75">
      <c r="A152" s="334">
        <v>195</v>
      </c>
      <c r="B152" s="370" t="s">
        <v>143</v>
      </c>
      <c r="C152" s="335">
        <v>42.702725000000001</v>
      </c>
      <c r="D152" s="336">
        <v>65.6965</v>
      </c>
      <c r="E152" s="337">
        <v>65.868644067796609</v>
      </c>
      <c r="F152" s="335">
        <v>1</v>
      </c>
      <c r="G152" s="338">
        <f>Tabela3521[[#This Row],[ICM]]*$C$2</f>
        <v>40</v>
      </c>
      <c r="H152" s="339">
        <v>180.88642000000002</v>
      </c>
      <c r="I152" s="340">
        <v>278.28680000000003</v>
      </c>
      <c r="J152" s="341">
        <v>267.56756756756761</v>
      </c>
      <c r="K152" s="341">
        <v>0.88994670829382372</v>
      </c>
      <c r="L152" s="342">
        <f>Tabela3521[[#This Row],[ICM    ]]*$H$2</f>
        <v>13.349200624407356</v>
      </c>
      <c r="M152" s="340">
        <v>177.914815</v>
      </c>
      <c r="N152" s="340">
        <v>273.71510000000001</v>
      </c>
      <c r="O152" s="341">
        <v>287.38738738738738</v>
      </c>
      <c r="P152" s="343">
        <v>1</v>
      </c>
      <c r="Q152" s="342">
        <f>Tabela3521[[#This Row],[ICM      ]]*$M$2</f>
        <v>15</v>
      </c>
      <c r="R152" s="344">
        <v>0.5</v>
      </c>
      <c r="S152" s="345">
        <v>0.6</v>
      </c>
      <c r="T152" s="344">
        <f t="shared" si="11"/>
        <v>9</v>
      </c>
      <c r="U152" s="346">
        <v>82.41042345276874</v>
      </c>
      <c r="V152" s="346">
        <v>0.9</v>
      </c>
      <c r="W152" s="346">
        <f t="shared" si="12"/>
        <v>13.5</v>
      </c>
      <c r="X152" s="347">
        <f t="shared" si="13"/>
        <v>100</v>
      </c>
      <c r="Y152" s="348">
        <f t="shared" si="14"/>
        <v>90.849200624407359</v>
      </c>
      <c r="Z152" s="348">
        <f t="shared" si="15"/>
        <v>0.90849200624407356</v>
      </c>
    </row>
    <row r="153" spans="1:26" s="349" customFormat="1" ht="18.75">
      <c r="A153" s="334">
        <v>197</v>
      </c>
      <c r="B153" s="370" t="s">
        <v>173</v>
      </c>
      <c r="C153" s="335">
        <v>46.168720000000008</v>
      </c>
      <c r="D153" s="336">
        <v>71.028800000000004</v>
      </c>
      <c r="E153" s="337">
        <v>73.478260869565219</v>
      </c>
      <c r="F153" s="335">
        <v>1</v>
      </c>
      <c r="G153" s="338">
        <f>Tabela3521[[#This Row],[ICM]]*$C$2</f>
        <v>40</v>
      </c>
      <c r="H153" s="339">
        <v>143.90571000000003</v>
      </c>
      <c r="I153" s="340">
        <v>221.39340000000001</v>
      </c>
      <c r="J153" s="341">
        <v>216.66666666666669</v>
      </c>
      <c r="K153" s="341">
        <v>0.93900020334412693</v>
      </c>
      <c r="L153" s="342">
        <f>Tabela3521[[#This Row],[ICM    ]]*$H$2</f>
        <v>14.085003050161903</v>
      </c>
      <c r="M153" s="340">
        <v>128.2424</v>
      </c>
      <c r="N153" s="340">
        <v>197.29599999999999</v>
      </c>
      <c r="O153" s="341">
        <v>223.58490566037739</v>
      </c>
      <c r="P153" s="343">
        <v>1</v>
      </c>
      <c r="Q153" s="342">
        <f>Tabela3521[[#This Row],[ICM      ]]*$M$2</f>
        <v>15</v>
      </c>
      <c r="R153" s="344">
        <v>0.39810479375696767</v>
      </c>
      <c r="S153" s="345">
        <v>0</v>
      </c>
      <c r="T153" s="344">
        <f t="shared" si="11"/>
        <v>0</v>
      </c>
      <c r="U153" s="346">
        <v>96.216216216216225</v>
      </c>
      <c r="V153" s="346">
        <v>1</v>
      </c>
      <c r="W153" s="346">
        <f t="shared" si="12"/>
        <v>15</v>
      </c>
      <c r="X153" s="347">
        <f t="shared" si="13"/>
        <v>100</v>
      </c>
      <c r="Y153" s="348">
        <f t="shared" si="14"/>
        <v>84.085003050161902</v>
      </c>
      <c r="Z153" s="348">
        <f t="shared" si="15"/>
        <v>0.84085003050161899</v>
      </c>
    </row>
    <row r="154" spans="1:26" s="349" customFormat="1" ht="18.75">
      <c r="A154" s="334">
        <v>198</v>
      </c>
      <c r="B154" s="370" t="s">
        <v>67</v>
      </c>
      <c r="C154" s="335">
        <v>54.121210000000005</v>
      </c>
      <c r="D154" s="336">
        <v>83.263400000000004</v>
      </c>
      <c r="E154" s="337">
        <v>72.441508833359862</v>
      </c>
      <c r="F154" s="335">
        <v>0.85</v>
      </c>
      <c r="G154" s="338">
        <f>Tabela3521[[#This Row],[ICM]]*$C$2</f>
        <v>34</v>
      </c>
      <c r="H154" s="339">
        <v>159.2903</v>
      </c>
      <c r="I154" s="340">
        <v>245.06200000000001</v>
      </c>
      <c r="J154" s="341">
        <v>224.77064220183485</v>
      </c>
      <c r="K154" s="341">
        <v>0.76342595753418474</v>
      </c>
      <c r="L154" s="342">
        <f>Tabela3521[[#This Row],[ICM    ]]*$H$2</f>
        <v>11.451389363012771</v>
      </c>
      <c r="M154" s="340">
        <v>151.53248500000001</v>
      </c>
      <c r="N154" s="340">
        <v>233.12690000000001</v>
      </c>
      <c r="O154" s="341">
        <v>224.50980392156865</v>
      </c>
      <c r="P154" s="343">
        <v>0.89439110411623934</v>
      </c>
      <c r="Q154" s="342">
        <f>Tabela3521[[#This Row],[ICM      ]]*$M$2</f>
        <v>13.41586656174359</v>
      </c>
      <c r="R154" s="344">
        <v>0.5</v>
      </c>
      <c r="S154" s="345">
        <v>0.6</v>
      </c>
      <c r="T154" s="344">
        <f t="shared" si="11"/>
        <v>9</v>
      </c>
      <c r="U154" s="346">
        <v>93.069306930693074</v>
      </c>
      <c r="V154" s="346">
        <v>1</v>
      </c>
      <c r="W154" s="346">
        <f t="shared" si="12"/>
        <v>15</v>
      </c>
      <c r="X154" s="347">
        <f t="shared" si="13"/>
        <v>100</v>
      </c>
      <c r="Y154" s="348">
        <f t="shared" si="14"/>
        <v>82.867255924756364</v>
      </c>
      <c r="Z154" s="348">
        <f t="shared" si="15"/>
        <v>0.82867255924756367</v>
      </c>
    </row>
    <row r="155" spans="1:26" s="349" customFormat="1" ht="18.75">
      <c r="A155" s="334">
        <v>199</v>
      </c>
      <c r="B155" s="370" t="s">
        <v>19</v>
      </c>
      <c r="C155" s="335">
        <v>51.752935000000001</v>
      </c>
      <c r="D155" s="336">
        <v>79.619900000000001</v>
      </c>
      <c r="E155" s="337">
        <v>76.160837779095033</v>
      </c>
      <c r="F155" s="335">
        <v>0.9</v>
      </c>
      <c r="G155" s="338">
        <f>Tabela3521[[#This Row],[ICM]]*$C$2</f>
        <v>36</v>
      </c>
      <c r="H155" s="339">
        <v>153.67755</v>
      </c>
      <c r="I155" s="340">
        <v>236.42699999999999</v>
      </c>
      <c r="J155" s="341">
        <v>230.49327354260092</v>
      </c>
      <c r="K155" s="341">
        <v>0.92829285925889449</v>
      </c>
      <c r="L155" s="342">
        <f>Tabela3521[[#This Row],[ICM    ]]*$H$2</f>
        <v>13.924392888883418</v>
      </c>
      <c r="M155" s="340">
        <v>133.29107999999999</v>
      </c>
      <c r="N155" s="340">
        <v>205.06319999999999</v>
      </c>
      <c r="O155" s="341">
        <v>224.18604651162792</v>
      </c>
      <c r="P155" s="343">
        <v>1</v>
      </c>
      <c r="Q155" s="342">
        <f>Tabela3521[[#This Row],[ICM      ]]*$M$2</f>
        <v>15</v>
      </c>
      <c r="R155" s="344">
        <v>0.69368799493002131</v>
      </c>
      <c r="S155" s="345">
        <v>0.7</v>
      </c>
      <c r="T155" s="344">
        <f t="shared" si="11"/>
        <v>10.5</v>
      </c>
      <c r="U155" s="346">
        <v>72.992700729927009</v>
      </c>
      <c r="V155" s="346">
        <v>0.8</v>
      </c>
      <c r="W155" s="346">
        <f t="shared" si="12"/>
        <v>12</v>
      </c>
      <c r="X155" s="347">
        <f t="shared" si="13"/>
        <v>100</v>
      </c>
      <c r="Y155" s="348">
        <f t="shared" si="14"/>
        <v>87.424392888883418</v>
      </c>
      <c r="Z155" s="348">
        <f t="shared" si="15"/>
        <v>0.87424392888883418</v>
      </c>
    </row>
    <row r="156" spans="1:26" s="349" customFormat="1" ht="18.75">
      <c r="A156" s="334">
        <v>200</v>
      </c>
      <c r="B156" s="370" t="s">
        <v>134</v>
      </c>
      <c r="C156" s="335">
        <v>45.000799999999998</v>
      </c>
      <c r="D156" s="336">
        <v>69.231999999999999</v>
      </c>
      <c r="E156" s="337">
        <v>74.638744024337242</v>
      </c>
      <c r="F156" s="335">
        <v>1</v>
      </c>
      <c r="G156" s="338">
        <f>Tabela3521[[#This Row],[ICM]]*$C$2</f>
        <v>40</v>
      </c>
      <c r="H156" s="339">
        <v>171.78564</v>
      </c>
      <c r="I156" s="340">
        <v>264.28559999999999</v>
      </c>
      <c r="J156" s="341">
        <v>261.07382550335569</v>
      </c>
      <c r="K156" s="341">
        <v>0.96527809853491509</v>
      </c>
      <c r="L156" s="342">
        <f>Tabela3521[[#This Row],[ICM    ]]*$H$2</f>
        <v>14.479171478023726</v>
      </c>
      <c r="M156" s="340">
        <v>164.084765</v>
      </c>
      <c r="N156" s="340">
        <v>252.43809999999999</v>
      </c>
      <c r="O156" s="341">
        <v>296.52777777777777</v>
      </c>
      <c r="P156" s="343">
        <v>1</v>
      </c>
      <c r="Q156" s="342">
        <f>Tabela3521[[#This Row],[ICM      ]]*$M$2</f>
        <v>15</v>
      </c>
      <c r="R156" s="344">
        <v>0.5</v>
      </c>
      <c r="S156" s="345">
        <v>0.6</v>
      </c>
      <c r="T156" s="344">
        <f t="shared" si="11"/>
        <v>9</v>
      </c>
      <c r="U156" s="346">
        <v>82.978723404255319</v>
      </c>
      <c r="V156" s="346">
        <v>0.9</v>
      </c>
      <c r="W156" s="346">
        <f t="shared" si="12"/>
        <v>13.5</v>
      </c>
      <c r="X156" s="347">
        <f t="shared" si="13"/>
        <v>100</v>
      </c>
      <c r="Y156" s="348">
        <f t="shared" si="14"/>
        <v>91.97917147802373</v>
      </c>
      <c r="Z156" s="348">
        <f t="shared" si="15"/>
        <v>0.91979171478023725</v>
      </c>
    </row>
    <row r="157" spans="1:26" s="349" customFormat="1" ht="18.75">
      <c r="A157" s="334">
        <v>201</v>
      </c>
      <c r="B157" s="370" t="s">
        <v>88</v>
      </c>
      <c r="C157" s="335">
        <v>51.257504999999995</v>
      </c>
      <c r="D157" s="336">
        <v>78.857699999999994</v>
      </c>
      <c r="E157" s="337">
        <v>81.052794072244524</v>
      </c>
      <c r="F157" s="335">
        <v>1</v>
      </c>
      <c r="G157" s="338">
        <f>Tabela3521[[#This Row],[ICM]]*$C$2</f>
        <v>40</v>
      </c>
      <c r="H157" s="339">
        <v>167.96637000000001</v>
      </c>
      <c r="I157" s="340">
        <v>258.40980000000002</v>
      </c>
      <c r="J157" s="341">
        <v>247.10743801652893</v>
      </c>
      <c r="K157" s="341">
        <v>0.87503390811835546</v>
      </c>
      <c r="L157" s="342">
        <f>Tabela3521[[#This Row],[ICM    ]]*$H$2</f>
        <v>13.125508621775332</v>
      </c>
      <c r="M157" s="340">
        <v>146.43239</v>
      </c>
      <c r="N157" s="340">
        <v>225.28059999999999</v>
      </c>
      <c r="O157" s="341">
        <v>239.65517241379308</v>
      </c>
      <c r="P157" s="343">
        <v>1</v>
      </c>
      <c r="Q157" s="342">
        <f>Tabela3521[[#This Row],[ICM      ]]*$M$2</f>
        <v>15</v>
      </c>
      <c r="R157" s="344">
        <v>0</v>
      </c>
      <c r="S157" s="345">
        <v>0</v>
      </c>
      <c r="T157" s="344">
        <f t="shared" si="11"/>
        <v>0</v>
      </c>
      <c r="U157" s="346">
        <v>90.109890109890117</v>
      </c>
      <c r="V157" s="346">
        <v>1</v>
      </c>
      <c r="W157" s="346">
        <f t="shared" si="12"/>
        <v>15</v>
      </c>
      <c r="X157" s="347">
        <f t="shared" si="13"/>
        <v>100</v>
      </c>
      <c r="Y157" s="348">
        <f t="shared" si="14"/>
        <v>83.125508621775339</v>
      </c>
      <c r="Z157" s="348">
        <f t="shared" si="15"/>
        <v>0.83125508621775335</v>
      </c>
    </row>
    <row r="158" spans="1:26" s="349" customFormat="1" ht="18.75">
      <c r="A158" s="334">
        <v>202</v>
      </c>
      <c r="B158" s="370" t="s">
        <v>133</v>
      </c>
      <c r="C158" s="335">
        <v>43.828719999999997</v>
      </c>
      <c r="D158" s="336">
        <v>67.428799999999995</v>
      </c>
      <c r="E158" s="337">
        <v>49.642857142857146</v>
      </c>
      <c r="F158" s="335">
        <v>0.25</v>
      </c>
      <c r="G158" s="338">
        <f>Tabela3521[[#This Row],[ICM]]*$C$2</f>
        <v>10</v>
      </c>
      <c r="H158" s="339">
        <v>169.19500000000002</v>
      </c>
      <c r="I158" s="340">
        <v>260.3</v>
      </c>
      <c r="J158" s="341">
        <v>272.72727272727275</v>
      </c>
      <c r="K158" s="341">
        <v>1</v>
      </c>
      <c r="L158" s="342">
        <f>Tabela3521[[#This Row],[ICM    ]]*$H$2</f>
        <v>15</v>
      </c>
      <c r="M158" s="340">
        <v>169</v>
      </c>
      <c r="N158" s="340">
        <v>260</v>
      </c>
      <c r="O158" s="341">
        <v>269.81132075471703</v>
      </c>
      <c r="P158" s="343">
        <v>1</v>
      </c>
      <c r="Q158" s="342">
        <f>Tabela3521[[#This Row],[ICM      ]]*$M$2</f>
        <v>15</v>
      </c>
      <c r="R158" s="344">
        <v>0.64444444444444438</v>
      </c>
      <c r="S158" s="345">
        <v>0.7</v>
      </c>
      <c r="T158" s="344">
        <f t="shared" si="11"/>
        <v>10.5</v>
      </c>
      <c r="U158" s="346">
        <v>98.295454545454547</v>
      </c>
      <c r="V158" s="346">
        <v>1</v>
      </c>
      <c r="W158" s="346">
        <f t="shared" si="12"/>
        <v>15</v>
      </c>
      <c r="X158" s="347">
        <f t="shared" si="13"/>
        <v>100</v>
      </c>
      <c r="Y158" s="348">
        <f t="shared" si="14"/>
        <v>65.5</v>
      </c>
      <c r="Z158" s="348">
        <f t="shared" si="15"/>
        <v>0.65500000000000003</v>
      </c>
    </row>
    <row r="159" spans="1:26" s="349" customFormat="1" ht="18.75">
      <c r="A159" s="334">
        <v>203</v>
      </c>
      <c r="B159" s="370" t="s">
        <v>63</v>
      </c>
      <c r="C159" s="335">
        <v>51.299170000000004</v>
      </c>
      <c r="D159" s="336">
        <v>78.921800000000005</v>
      </c>
      <c r="E159" s="337">
        <v>82.317073170731703</v>
      </c>
      <c r="F159" s="335">
        <v>1</v>
      </c>
      <c r="G159" s="338">
        <f>Tabela3521[[#This Row],[ICM]]*$C$2</f>
        <v>40</v>
      </c>
      <c r="H159" s="339">
        <v>147.52257</v>
      </c>
      <c r="I159" s="340">
        <v>226.95779999999999</v>
      </c>
      <c r="J159" s="341">
        <v>246.66666666666669</v>
      </c>
      <c r="K159" s="341">
        <v>1</v>
      </c>
      <c r="L159" s="342">
        <f>Tabela3521[[#This Row],[ICM    ]]*$H$2</f>
        <v>15</v>
      </c>
      <c r="M159" s="340">
        <v>132.91005000000001</v>
      </c>
      <c r="N159" s="340">
        <v>204.477</v>
      </c>
      <c r="O159" s="341">
        <v>248.0392156862745</v>
      </c>
      <c r="P159" s="343">
        <v>1</v>
      </c>
      <c r="Q159" s="342">
        <f>Tabela3521[[#This Row],[ICM      ]]*$M$2</f>
        <v>15</v>
      </c>
      <c r="R159" s="344">
        <v>0</v>
      </c>
      <c r="S159" s="345">
        <v>0</v>
      </c>
      <c r="T159" s="344">
        <f t="shared" si="11"/>
        <v>0</v>
      </c>
      <c r="U159" s="346">
        <v>96.428571428571431</v>
      </c>
      <c r="V159" s="346">
        <v>1</v>
      </c>
      <c r="W159" s="346">
        <f t="shared" si="12"/>
        <v>15</v>
      </c>
      <c r="X159" s="347">
        <f t="shared" si="13"/>
        <v>100</v>
      </c>
      <c r="Y159" s="348">
        <f t="shared" si="14"/>
        <v>85</v>
      </c>
      <c r="Z159" s="348">
        <f t="shared" si="15"/>
        <v>0.85</v>
      </c>
    </row>
    <row r="160" spans="1:26" s="349" customFormat="1" ht="18.75">
      <c r="A160" s="334">
        <v>205</v>
      </c>
      <c r="B160" s="370" t="s">
        <v>169</v>
      </c>
      <c r="C160" s="335">
        <v>39.783574999999999</v>
      </c>
      <c r="D160" s="336">
        <v>61.205500000000001</v>
      </c>
      <c r="E160" s="337">
        <v>65.12605042016807</v>
      </c>
      <c r="F160" s="335">
        <v>1</v>
      </c>
      <c r="G160" s="338">
        <f>Tabela3521[[#This Row],[ICM]]*$C$2</f>
        <v>40</v>
      </c>
      <c r="H160" s="339">
        <v>150.54910000000001</v>
      </c>
      <c r="I160" s="340">
        <v>231.614</v>
      </c>
      <c r="J160" s="341">
        <v>229.05982905982904</v>
      </c>
      <c r="K160" s="341">
        <v>0.96849227051200992</v>
      </c>
      <c r="L160" s="342">
        <f>Tabela3521[[#This Row],[ICM    ]]*$H$2</f>
        <v>14.527384057680148</v>
      </c>
      <c r="M160" s="340">
        <v>132.146885</v>
      </c>
      <c r="N160" s="340">
        <v>203.30289999999999</v>
      </c>
      <c r="O160" s="341">
        <v>206.35593220338981</v>
      </c>
      <c r="P160" s="343">
        <v>1</v>
      </c>
      <c r="Q160" s="342">
        <f>Tabela3521[[#This Row],[ICM      ]]*$M$2</f>
        <v>15</v>
      </c>
      <c r="R160" s="344">
        <v>0.35138086062941554</v>
      </c>
      <c r="S160" s="345">
        <v>0</v>
      </c>
      <c r="T160" s="344">
        <f t="shared" si="11"/>
        <v>0</v>
      </c>
      <c r="U160" s="346">
        <v>89.260143198090688</v>
      </c>
      <c r="V160" s="346">
        <v>0.9</v>
      </c>
      <c r="W160" s="346">
        <f t="shared" si="12"/>
        <v>13.5</v>
      </c>
      <c r="X160" s="347">
        <f t="shared" si="13"/>
        <v>100</v>
      </c>
      <c r="Y160" s="348">
        <f t="shared" si="14"/>
        <v>83.027384057680152</v>
      </c>
      <c r="Z160" s="348">
        <f t="shared" si="15"/>
        <v>0.83027384057680154</v>
      </c>
    </row>
    <row r="161" spans="1:26" s="349" customFormat="1" ht="18.75">
      <c r="A161" s="334">
        <v>206</v>
      </c>
      <c r="B161" s="370" t="s">
        <v>214</v>
      </c>
      <c r="C161" s="335">
        <v>43.473040000000005</v>
      </c>
      <c r="D161" s="336">
        <v>66.881600000000006</v>
      </c>
      <c r="E161" s="337">
        <v>72.103004291845494</v>
      </c>
      <c r="F161" s="335">
        <v>1</v>
      </c>
      <c r="G161" s="338">
        <f>Tabela3521[[#This Row],[ICM]]*$C$2</f>
        <v>40</v>
      </c>
      <c r="H161" s="339">
        <v>167.02841999999998</v>
      </c>
      <c r="I161" s="340">
        <v>256.96679999999998</v>
      </c>
      <c r="J161" s="341">
        <v>249.6</v>
      </c>
      <c r="K161" s="341">
        <v>0.91809058602122939</v>
      </c>
      <c r="L161" s="342">
        <f>Tabela3521[[#This Row],[ICM    ]]*$H$2</f>
        <v>13.771358790318441</v>
      </c>
      <c r="M161" s="340">
        <v>163.87826000000001</v>
      </c>
      <c r="N161" s="340">
        <v>252.12039999999999</v>
      </c>
      <c r="O161" s="341">
        <v>261.29032258064512</v>
      </c>
      <c r="P161" s="343">
        <v>1</v>
      </c>
      <c r="Q161" s="342">
        <f>Tabela3521[[#This Row],[ICM      ]]*$M$2</f>
        <v>15</v>
      </c>
      <c r="R161" s="344">
        <v>0.5</v>
      </c>
      <c r="S161" s="345">
        <v>0.6</v>
      </c>
      <c r="T161" s="344">
        <f t="shared" si="11"/>
        <v>9</v>
      </c>
      <c r="U161" s="346">
        <v>93.867924528301884</v>
      </c>
      <c r="V161" s="346">
        <v>1</v>
      </c>
      <c r="W161" s="346">
        <f t="shared" si="12"/>
        <v>15</v>
      </c>
      <c r="X161" s="347">
        <f t="shared" si="13"/>
        <v>100</v>
      </c>
      <c r="Y161" s="348">
        <f t="shared" si="14"/>
        <v>92.771358790318445</v>
      </c>
      <c r="Z161" s="348">
        <f t="shared" si="15"/>
        <v>0.92771358790318448</v>
      </c>
    </row>
    <row r="162" spans="1:26" s="349" customFormat="1" ht="18.75">
      <c r="A162" s="334">
        <v>207</v>
      </c>
      <c r="B162" s="370" t="s">
        <v>31</v>
      </c>
      <c r="C162" s="335">
        <v>49.007010000000001</v>
      </c>
      <c r="D162" s="336">
        <v>75.395399999999995</v>
      </c>
      <c r="E162" s="337">
        <v>70.914261931187568</v>
      </c>
      <c r="F162" s="335">
        <v>0.7</v>
      </c>
      <c r="G162" s="338">
        <f>Tabela3521[[#This Row],[ICM]]*$C$2</f>
        <v>28</v>
      </c>
      <c r="H162" s="339">
        <v>137.92486500000001</v>
      </c>
      <c r="I162" s="340">
        <v>212.19210000000001</v>
      </c>
      <c r="J162" s="341">
        <v>227.74869109947645</v>
      </c>
      <c r="K162" s="341">
        <v>1</v>
      </c>
      <c r="L162" s="342">
        <f>Tabela3521[[#This Row],[ICM    ]]*$H$2</f>
        <v>15</v>
      </c>
      <c r="M162" s="340">
        <v>136.21120500000001</v>
      </c>
      <c r="N162" s="340">
        <v>209.5557</v>
      </c>
      <c r="O162" s="341">
        <v>214.36464088397793</v>
      </c>
      <c r="P162" s="343">
        <v>1</v>
      </c>
      <c r="Q162" s="342">
        <f>Tabela3521[[#This Row],[ICM      ]]*$M$2</f>
        <v>15</v>
      </c>
      <c r="R162" s="344">
        <v>0</v>
      </c>
      <c r="S162" s="345">
        <v>0</v>
      </c>
      <c r="T162" s="344">
        <f t="shared" si="11"/>
        <v>0</v>
      </c>
      <c r="U162" s="346">
        <v>85.430463576158942</v>
      </c>
      <c r="V162" s="346">
        <v>0.9</v>
      </c>
      <c r="W162" s="346">
        <f t="shared" si="12"/>
        <v>13.5</v>
      </c>
      <c r="X162" s="347">
        <f t="shared" si="13"/>
        <v>100</v>
      </c>
      <c r="Y162" s="348">
        <f t="shared" si="14"/>
        <v>71.5</v>
      </c>
      <c r="Z162" s="348">
        <f t="shared" si="15"/>
        <v>0.71499999999999997</v>
      </c>
    </row>
    <row r="163" spans="1:26" s="349" customFormat="1" ht="18.75">
      <c r="A163" s="334">
        <v>208</v>
      </c>
      <c r="B163" s="370" t="s">
        <v>112</v>
      </c>
      <c r="C163" s="335">
        <v>47.539440000000006</v>
      </c>
      <c r="D163" s="336">
        <v>73.137600000000006</v>
      </c>
      <c r="E163" s="337">
        <v>69.901376146788991</v>
      </c>
      <c r="F163" s="335">
        <v>1</v>
      </c>
      <c r="G163" s="338">
        <f>Tabela3521[[#This Row],[ICM]]*$C$2</f>
        <v>40</v>
      </c>
      <c r="H163" s="339">
        <v>164.47886</v>
      </c>
      <c r="I163" s="340">
        <v>253.0444</v>
      </c>
      <c r="J163" s="341">
        <v>254.04040404040404</v>
      </c>
      <c r="K163" s="341">
        <v>1</v>
      </c>
      <c r="L163" s="342">
        <f>Tabela3521[[#This Row],[ICM    ]]*$H$2</f>
        <v>15</v>
      </c>
      <c r="M163" s="340">
        <v>134.52406500000001</v>
      </c>
      <c r="N163" s="340">
        <v>206.96010000000001</v>
      </c>
      <c r="O163" s="341">
        <v>237.89473684210526</v>
      </c>
      <c r="P163" s="343">
        <v>1</v>
      </c>
      <c r="Q163" s="342">
        <f>Tabela3521[[#This Row],[ICM      ]]*$M$2</f>
        <v>15</v>
      </c>
      <c r="R163" s="344">
        <v>0</v>
      </c>
      <c r="S163" s="345">
        <v>0</v>
      </c>
      <c r="T163" s="344">
        <f t="shared" si="11"/>
        <v>0</v>
      </c>
      <c r="U163" s="346">
        <v>77.282850779510028</v>
      </c>
      <c r="V163" s="346">
        <v>0.8</v>
      </c>
      <c r="W163" s="346">
        <f t="shared" si="12"/>
        <v>12</v>
      </c>
      <c r="X163" s="347">
        <f t="shared" si="13"/>
        <v>100</v>
      </c>
      <c r="Y163" s="348">
        <f t="shared" si="14"/>
        <v>82</v>
      </c>
      <c r="Z163" s="348">
        <f t="shared" si="15"/>
        <v>0.82</v>
      </c>
    </row>
    <row r="164" spans="1:26" s="349" customFormat="1" ht="18.75">
      <c r="A164" s="334">
        <v>210</v>
      </c>
      <c r="B164" s="370" t="s">
        <v>13</v>
      </c>
      <c r="C164" s="335">
        <v>56.923165000000004</v>
      </c>
      <c r="D164" s="336">
        <v>87.574100000000001</v>
      </c>
      <c r="E164" s="337">
        <v>82.685669456066947</v>
      </c>
      <c r="F164" s="335">
        <v>0.85</v>
      </c>
      <c r="G164" s="338">
        <f>Tabela3521[[#This Row],[ICM]]*$C$2</f>
        <v>34</v>
      </c>
      <c r="H164" s="339">
        <v>156.37440000000001</v>
      </c>
      <c r="I164" s="340">
        <v>240.57599999999999</v>
      </c>
      <c r="J164" s="341">
        <v>278.9473684210526</v>
      </c>
      <c r="K164" s="341">
        <v>1</v>
      </c>
      <c r="L164" s="342">
        <f>Tabela3521[[#This Row],[ICM    ]]*$H$2</f>
        <v>15</v>
      </c>
      <c r="M164" s="340">
        <v>133.82375500000001</v>
      </c>
      <c r="N164" s="340">
        <v>205.8827</v>
      </c>
      <c r="O164" s="341">
        <v>253.33333333333337</v>
      </c>
      <c r="P164" s="343">
        <v>1</v>
      </c>
      <c r="Q164" s="342">
        <f>Tabela3521[[#This Row],[ICM      ]]*$M$2</f>
        <v>15</v>
      </c>
      <c r="R164" s="344">
        <v>0</v>
      </c>
      <c r="S164" s="345">
        <v>0</v>
      </c>
      <c r="T164" s="344">
        <f t="shared" si="11"/>
        <v>0</v>
      </c>
      <c r="U164" s="346">
        <v>82.846715328467155</v>
      </c>
      <c r="V164" s="346">
        <v>0.9</v>
      </c>
      <c r="W164" s="346">
        <f t="shared" si="12"/>
        <v>13.5</v>
      </c>
      <c r="X164" s="347">
        <f t="shared" si="13"/>
        <v>100</v>
      </c>
      <c r="Y164" s="348">
        <f t="shared" si="14"/>
        <v>77.5</v>
      </c>
      <c r="Z164" s="348">
        <f t="shared" si="15"/>
        <v>0.77500000000000002</v>
      </c>
    </row>
    <row r="165" spans="1:26" s="349" customFormat="1" ht="18.75">
      <c r="A165" s="334">
        <v>211</v>
      </c>
      <c r="B165" s="370" t="s">
        <v>76</v>
      </c>
      <c r="C165" s="335">
        <v>51.459784999999997</v>
      </c>
      <c r="D165" s="336">
        <v>79.168899999999994</v>
      </c>
      <c r="E165" s="337">
        <v>71.724708976669433</v>
      </c>
      <c r="F165" s="335">
        <v>0.7</v>
      </c>
      <c r="G165" s="338">
        <f>Tabela3521[[#This Row],[ICM]]*$C$2</f>
        <v>28</v>
      </c>
      <c r="H165" s="339">
        <v>175.53549000000001</v>
      </c>
      <c r="I165" s="340">
        <v>270.05459999999999</v>
      </c>
      <c r="J165" s="341">
        <v>251.8918918918919</v>
      </c>
      <c r="K165" s="341">
        <v>0.80784088944438759</v>
      </c>
      <c r="L165" s="342">
        <f>Tabela3521[[#This Row],[ICM    ]]*$H$2</f>
        <v>12.117613341665814</v>
      </c>
      <c r="M165" s="340">
        <v>145.08013</v>
      </c>
      <c r="N165" s="340">
        <v>223.2002</v>
      </c>
      <c r="O165" s="341">
        <v>267.77777777777777</v>
      </c>
      <c r="P165" s="343">
        <v>1</v>
      </c>
      <c r="Q165" s="342">
        <f>Tabela3521[[#This Row],[ICM      ]]*$M$2</f>
        <v>15</v>
      </c>
      <c r="R165" s="344">
        <v>0.5</v>
      </c>
      <c r="S165" s="345">
        <v>0.6</v>
      </c>
      <c r="T165" s="344">
        <f t="shared" si="11"/>
        <v>9</v>
      </c>
      <c r="U165" s="346">
        <v>70.719178082191775</v>
      </c>
      <c r="V165" s="346">
        <v>0.8</v>
      </c>
      <c r="W165" s="346">
        <f t="shared" si="12"/>
        <v>12</v>
      </c>
      <c r="X165" s="347">
        <f t="shared" si="13"/>
        <v>100</v>
      </c>
      <c r="Y165" s="348">
        <f t="shared" si="14"/>
        <v>76.117613341665816</v>
      </c>
      <c r="Z165" s="348">
        <f t="shared" si="15"/>
        <v>0.76117613341665813</v>
      </c>
    </row>
    <row r="166" spans="1:26" s="349" customFormat="1" ht="18.75">
      <c r="A166" s="334">
        <v>212</v>
      </c>
      <c r="B166" s="370" t="s">
        <v>15</v>
      </c>
      <c r="C166" s="335">
        <v>51.271025000000002</v>
      </c>
      <c r="D166" s="336">
        <v>78.878500000000003</v>
      </c>
      <c r="E166" s="337">
        <v>84.0625</v>
      </c>
      <c r="F166" s="335">
        <v>1</v>
      </c>
      <c r="G166" s="338">
        <f>Tabela3521[[#This Row],[ICM]]*$C$2</f>
        <v>40</v>
      </c>
      <c r="H166" s="339">
        <v>143.16464500000001</v>
      </c>
      <c r="I166" s="340">
        <v>220.2533</v>
      </c>
      <c r="J166" s="341">
        <v>243.39622641509436</v>
      </c>
      <c r="K166" s="341">
        <v>1</v>
      </c>
      <c r="L166" s="342">
        <f>Tabela3521[[#This Row],[ICM    ]]*$H$2</f>
        <v>15</v>
      </c>
      <c r="M166" s="340">
        <v>160.521725</v>
      </c>
      <c r="N166" s="340">
        <v>246.95650000000001</v>
      </c>
      <c r="O166" s="341">
        <v>248.57142857142858</v>
      </c>
      <c r="P166" s="343">
        <v>1</v>
      </c>
      <c r="Q166" s="342">
        <f>Tabela3521[[#This Row],[ICM      ]]*$M$2</f>
        <v>15</v>
      </c>
      <c r="R166" s="344">
        <v>0.79934127497152707</v>
      </c>
      <c r="S166" s="345">
        <v>0.8</v>
      </c>
      <c r="T166" s="344">
        <f t="shared" si="11"/>
        <v>12</v>
      </c>
      <c r="U166" s="346">
        <v>97.321428571428569</v>
      </c>
      <c r="V166" s="346">
        <v>1</v>
      </c>
      <c r="W166" s="346">
        <f t="shared" si="12"/>
        <v>15</v>
      </c>
      <c r="X166" s="347">
        <f t="shared" si="13"/>
        <v>100</v>
      </c>
      <c r="Y166" s="348">
        <f t="shared" si="14"/>
        <v>97</v>
      </c>
      <c r="Z166" s="348">
        <f t="shared" si="15"/>
        <v>0.97</v>
      </c>
    </row>
    <row r="167" spans="1:26" s="349" customFormat="1" ht="18.75">
      <c r="A167" s="334">
        <v>213</v>
      </c>
      <c r="B167" s="370" t="s">
        <v>78</v>
      </c>
      <c r="C167" s="335">
        <v>43.530305000000006</v>
      </c>
      <c r="D167" s="336">
        <v>66.969700000000003</v>
      </c>
      <c r="E167" s="337">
        <v>72.332069339111584</v>
      </c>
      <c r="F167" s="335">
        <v>1</v>
      </c>
      <c r="G167" s="338">
        <f>Tabela3521[[#This Row],[ICM]]*$C$2</f>
        <v>40</v>
      </c>
      <c r="H167" s="339">
        <v>175.87193000000002</v>
      </c>
      <c r="I167" s="340">
        <v>270.57220000000001</v>
      </c>
      <c r="J167" s="341">
        <v>261.19402985074623</v>
      </c>
      <c r="K167" s="341">
        <v>0.90096997453910344</v>
      </c>
      <c r="L167" s="342">
        <f>Tabela3521[[#This Row],[ICM    ]]*$H$2</f>
        <v>13.514549618086551</v>
      </c>
      <c r="M167" s="340">
        <v>161.70758499999999</v>
      </c>
      <c r="N167" s="340">
        <v>248.7809</v>
      </c>
      <c r="O167" s="341">
        <v>246.03174603174602</v>
      </c>
      <c r="P167" s="343">
        <v>0.96842713558965821</v>
      </c>
      <c r="Q167" s="342">
        <f>Tabela3521[[#This Row],[ICM      ]]*$M$2</f>
        <v>14.526407033844873</v>
      </c>
      <c r="R167" s="344">
        <v>0.33644646924829158</v>
      </c>
      <c r="S167" s="345">
        <v>0</v>
      </c>
      <c r="T167" s="344">
        <f t="shared" si="11"/>
        <v>0</v>
      </c>
      <c r="U167" s="346">
        <v>96.428571428571431</v>
      </c>
      <c r="V167" s="346">
        <v>1</v>
      </c>
      <c r="W167" s="346">
        <f t="shared" si="12"/>
        <v>15</v>
      </c>
      <c r="X167" s="347">
        <f t="shared" si="13"/>
        <v>100</v>
      </c>
      <c r="Y167" s="348">
        <f t="shared" si="14"/>
        <v>83.040956651931424</v>
      </c>
      <c r="Z167" s="348">
        <f t="shared" si="15"/>
        <v>0.83040956651931419</v>
      </c>
    </row>
    <row r="168" spans="1:26" s="349" customFormat="1" ht="18.75">
      <c r="A168" s="334">
        <v>214</v>
      </c>
      <c r="B168" s="370" t="s">
        <v>8</v>
      </c>
      <c r="C168" s="335">
        <v>53.633190000000006</v>
      </c>
      <c r="D168" s="336">
        <v>82.512600000000006</v>
      </c>
      <c r="E168" s="337">
        <v>68.395001622849733</v>
      </c>
      <c r="F168" s="335">
        <v>0.75</v>
      </c>
      <c r="G168" s="338">
        <f>Tabela3521[[#This Row],[ICM]]*$C$2</f>
        <v>30</v>
      </c>
      <c r="H168" s="339">
        <v>143.71889999999999</v>
      </c>
      <c r="I168" s="340">
        <v>221.10599999999999</v>
      </c>
      <c r="J168" s="341">
        <v>225.35211267605632</v>
      </c>
      <c r="K168" s="341">
        <v>1</v>
      </c>
      <c r="L168" s="342">
        <f>Tabela3521[[#This Row],[ICM    ]]*$H$2</f>
        <v>15</v>
      </c>
      <c r="M168" s="340">
        <v>120.59404500000001</v>
      </c>
      <c r="N168" s="340">
        <v>185.52930000000001</v>
      </c>
      <c r="O168" s="341">
        <v>235.29411764705884</v>
      </c>
      <c r="P168" s="343">
        <v>1</v>
      </c>
      <c r="Q168" s="342">
        <f>Tabela3521[[#This Row],[ICM      ]]*$M$2</f>
        <v>15</v>
      </c>
      <c r="R168" s="344">
        <v>0.67833302600036882</v>
      </c>
      <c r="S168" s="345">
        <v>0.7</v>
      </c>
      <c r="T168" s="344">
        <f t="shared" si="11"/>
        <v>10.5</v>
      </c>
      <c r="U168" s="346">
        <v>88.590604026845639</v>
      </c>
      <c r="V168" s="346">
        <v>0.9</v>
      </c>
      <c r="W168" s="346">
        <f t="shared" si="12"/>
        <v>13.5</v>
      </c>
      <c r="X168" s="347">
        <f t="shared" si="13"/>
        <v>100</v>
      </c>
      <c r="Y168" s="348">
        <f t="shared" si="14"/>
        <v>84</v>
      </c>
      <c r="Z168" s="348">
        <f t="shared" si="15"/>
        <v>0.84</v>
      </c>
    </row>
    <row r="169" spans="1:26" s="349" customFormat="1" ht="18.75">
      <c r="A169" s="334">
        <v>215</v>
      </c>
      <c r="B169" s="370" t="s">
        <v>104</v>
      </c>
      <c r="C169" s="335">
        <v>48.275435000000009</v>
      </c>
      <c r="D169" s="336">
        <v>74.269900000000007</v>
      </c>
      <c r="E169" s="337">
        <v>84.789067142008307</v>
      </c>
      <c r="F169" s="335">
        <v>1</v>
      </c>
      <c r="G169" s="338">
        <f>Tabela3521[[#This Row],[ICM]]*$C$2</f>
        <v>40</v>
      </c>
      <c r="H169" s="339">
        <v>137.4607</v>
      </c>
      <c r="I169" s="340">
        <v>211.47800000000001</v>
      </c>
      <c r="J169" s="341">
        <v>211.26760563380282</v>
      </c>
      <c r="K169" s="341">
        <v>0.99715749742023563</v>
      </c>
      <c r="L169" s="342">
        <f>Tabela3521[[#This Row],[ICM    ]]*$H$2</f>
        <v>14.957362461303534</v>
      </c>
      <c r="M169" s="340">
        <v>115.906375</v>
      </c>
      <c r="N169" s="340">
        <v>178.3175</v>
      </c>
      <c r="O169" s="341">
        <v>198.36065573770489</v>
      </c>
      <c r="P169" s="343">
        <v>1</v>
      </c>
      <c r="Q169" s="342">
        <f>Tabela3521[[#This Row],[ICM      ]]*$M$2</f>
        <v>15</v>
      </c>
      <c r="R169" s="344">
        <v>0.5</v>
      </c>
      <c r="S169" s="345">
        <v>0.6</v>
      </c>
      <c r="T169" s="344">
        <f t="shared" si="11"/>
        <v>9</v>
      </c>
      <c r="U169" s="346">
        <v>98.701298701298697</v>
      </c>
      <c r="V169" s="346">
        <v>1</v>
      </c>
      <c r="W169" s="346">
        <f t="shared" si="12"/>
        <v>15</v>
      </c>
      <c r="X169" s="347">
        <f t="shared" si="13"/>
        <v>100</v>
      </c>
      <c r="Y169" s="348">
        <f t="shared" si="14"/>
        <v>93.957362461303532</v>
      </c>
      <c r="Z169" s="348">
        <f t="shared" si="15"/>
        <v>0.93957362461303529</v>
      </c>
    </row>
    <row r="170" spans="1:26" s="349" customFormat="1" ht="18.75">
      <c r="A170" s="334">
        <v>218</v>
      </c>
      <c r="B170" s="370" t="s">
        <v>192</v>
      </c>
      <c r="C170" s="335">
        <v>38.221560000000004</v>
      </c>
      <c r="D170" s="336">
        <v>58.802399999999999</v>
      </c>
      <c r="E170" s="337">
        <v>69.560606060606062</v>
      </c>
      <c r="F170" s="335">
        <v>1</v>
      </c>
      <c r="G170" s="338">
        <f>Tabela3521[[#This Row],[ICM]]*$C$2</f>
        <v>40</v>
      </c>
      <c r="H170" s="339">
        <v>154.74082000000001</v>
      </c>
      <c r="I170" s="340">
        <v>238.06280000000001</v>
      </c>
      <c r="J170" s="341">
        <v>247.87234042553192</v>
      </c>
      <c r="K170" s="341">
        <v>1</v>
      </c>
      <c r="L170" s="342">
        <f>Tabela3521[[#This Row],[ICM    ]]*$H$2</f>
        <v>15</v>
      </c>
      <c r="M170" s="340">
        <v>165.83931000000001</v>
      </c>
      <c r="N170" s="340">
        <v>255.13740000000001</v>
      </c>
      <c r="O170" s="341">
        <v>245.7446808510638</v>
      </c>
      <c r="P170" s="343">
        <v>0.89481612485848006</v>
      </c>
      <c r="Q170" s="342">
        <f>Tabela3521[[#This Row],[ICM      ]]*$M$2</f>
        <v>13.422241872877201</v>
      </c>
      <c r="R170" s="344">
        <v>0.46147635524798153</v>
      </c>
      <c r="S170" s="345">
        <v>0.5</v>
      </c>
      <c r="T170" s="344">
        <f t="shared" si="11"/>
        <v>7.5</v>
      </c>
      <c r="U170" s="346">
        <v>95.196506550218345</v>
      </c>
      <c r="V170" s="346">
        <v>1</v>
      </c>
      <c r="W170" s="346">
        <f t="shared" si="12"/>
        <v>15</v>
      </c>
      <c r="X170" s="347">
        <f t="shared" si="13"/>
        <v>100</v>
      </c>
      <c r="Y170" s="348">
        <f t="shared" si="14"/>
        <v>90.922241872877208</v>
      </c>
      <c r="Z170" s="348">
        <f t="shared" si="15"/>
        <v>0.90922241872877207</v>
      </c>
    </row>
    <row r="171" spans="1:26" s="349" customFormat="1" ht="18.75">
      <c r="A171" s="334">
        <v>219</v>
      </c>
      <c r="B171" s="370" t="s">
        <v>80</v>
      </c>
      <c r="C171" s="335">
        <v>51.082980000000006</v>
      </c>
      <c r="D171" s="336">
        <v>78.589200000000005</v>
      </c>
      <c r="E171" s="337">
        <v>77.826420890937015</v>
      </c>
      <c r="F171" s="335">
        <v>1</v>
      </c>
      <c r="G171" s="338">
        <f>Tabela3521[[#This Row],[ICM]]*$C$2</f>
        <v>40</v>
      </c>
      <c r="H171" s="339">
        <v>186.24755500000001</v>
      </c>
      <c r="I171" s="340">
        <v>286.53469999999999</v>
      </c>
      <c r="J171" s="341">
        <v>272.05882352941177</v>
      </c>
      <c r="K171" s="341">
        <v>0.85565571269789142</v>
      </c>
      <c r="L171" s="342">
        <f>Tabela3521[[#This Row],[ICM    ]]*$H$2</f>
        <v>12.83483569046837</v>
      </c>
      <c r="M171" s="340">
        <v>153.01578499999999</v>
      </c>
      <c r="N171" s="340">
        <v>235.40889999999999</v>
      </c>
      <c r="O171" s="341">
        <v>285.50724637681162</v>
      </c>
      <c r="P171" s="343">
        <v>1</v>
      </c>
      <c r="Q171" s="342">
        <f>Tabela3521[[#This Row],[ICM      ]]*$M$2</f>
        <v>15</v>
      </c>
      <c r="R171" s="344">
        <v>0.41929824561403506</v>
      </c>
      <c r="S171" s="345">
        <v>0.5</v>
      </c>
      <c r="T171" s="344">
        <f t="shared" si="11"/>
        <v>7.5</v>
      </c>
      <c r="U171" s="346">
        <v>83.333333333333343</v>
      </c>
      <c r="V171" s="346">
        <v>0.9</v>
      </c>
      <c r="W171" s="346">
        <f t="shared" si="12"/>
        <v>13.5</v>
      </c>
      <c r="X171" s="347">
        <f t="shared" si="13"/>
        <v>100</v>
      </c>
      <c r="Y171" s="348">
        <f t="shared" si="14"/>
        <v>88.834835690468367</v>
      </c>
      <c r="Z171" s="348">
        <f t="shared" si="15"/>
        <v>0.88834835690468372</v>
      </c>
    </row>
    <row r="172" spans="1:26" s="349" customFormat="1" ht="18.75">
      <c r="A172" s="334">
        <v>220</v>
      </c>
      <c r="B172" s="370" t="s">
        <v>50</v>
      </c>
      <c r="C172" s="335">
        <v>49.857469999999999</v>
      </c>
      <c r="D172" s="336">
        <v>76.703800000000001</v>
      </c>
      <c r="E172" s="337">
        <v>77.395833333333329</v>
      </c>
      <c r="F172" s="335">
        <v>1</v>
      </c>
      <c r="G172" s="338">
        <f>Tabela3521[[#This Row],[ICM]]*$C$2</f>
        <v>40</v>
      </c>
      <c r="H172" s="339">
        <v>155.57600500000001</v>
      </c>
      <c r="I172" s="340">
        <v>239.3477</v>
      </c>
      <c r="J172" s="341">
        <v>241.1764705882353</v>
      </c>
      <c r="K172" s="341">
        <v>1</v>
      </c>
      <c r="L172" s="342">
        <f>Tabela3521[[#This Row],[ICM    ]]*$H$2</f>
        <v>15</v>
      </c>
      <c r="M172" s="340">
        <v>149.654245</v>
      </c>
      <c r="N172" s="340">
        <v>230.2373</v>
      </c>
      <c r="O172" s="341">
        <v>243.1372549019608</v>
      </c>
      <c r="P172" s="343">
        <v>1</v>
      </c>
      <c r="Q172" s="342">
        <f>Tabela3521[[#This Row],[ICM      ]]*$M$2</f>
        <v>15</v>
      </c>
      <c r="R172" s="344">
        <v>0</v>
      </c>
      <c r="S172" s="345">
        <v>0</v>
      </c>
      <c r="T172" s="344">
        <f t="shared" si="11"/>
        <v>0</v>
      </c>
      <c r="U172" s="346">
        <v>98.096885813148788</v>
      </c>
      <c r="V172" s="346">
        <v>1</v>
      </c>
      <c r="W172" s="346">
        <f t="shared" si="12"/>
        <v>15</v>
      </c>
      <c r="X172" s="347">
        <f t="shared" si="13"/>
        <v>100</v>
      </c>
      <c r="Y172" s="348">
        <f t="shared" si="14"/>
        <v>85</v>
      </c>
      <c r="Z172" s="348">
        <f t="shared" si="15"/>
        <v>0.85</v>
      </c>
    </row>
    <row r="173" spans="1:26" s="349" customFormat="1" ht="18.75">
      <c r="A173" s="334">
        <v>221</v>
      </c>
      <c r="B173" s="370" t="s">
        <v>91</v>
      </c>
      <c r="C173" s="335">
        <v>52.084825000000002</v>
      </c>
      <c r="D173" s="336">
        <v>80.130499999999998</v>
      </c>
      <c r="E173" s="337">
        <v>72.4201498422713</v>
      </c>
      <c r="F173" s="335">
        <v>0.85</v>
      </c>
      <c r="G173" s="338">
        <f>Tabela3521[[#This Row],[ICM]]*$C$2</f>
        <v>34</v>
      </c>
      <c r="H173" s="339">
        <v>177.96883000000003</v>
      </c>
      <c r="I173" s="340">
        <v>273.79820000000001</v>
      </c>
      <c r="J173" s="341">
        <v>243.50649350649348</v>
      </c>
      <c r="K173" s="341">
        <v>0.68389955507892286</v>
      </c>
      <c r="L173" s="342">
        <f>Tabela3521[[#This Row],[ICM    ]]*$H$2</f>
        <v>10.258493326183842</v>
      </c>
      <c r="M173" s="340">
        <v>152.37508</v>
      </c>
      <c r="N173" s="340">
        <v>234.42320000000001</v>
      </c>
      <c r="O173" s="341">
        <v>271.89542483660131</v>
      </c>
      <c r="P173" s="343">
        <v>1</v>
      </c>
      <c r="Q173" s="342">
        <f>Tabela3521[[#This Row],[ICM      ]]*$M$2</f>
        <v>15</v>
      </c>
      <c r="R173" s="344">
        <v>0</v>
      </c>
      <c r="S173" s="345">
        <v>0</v>
      </c>
      <c r="T173" s="344">
        <f t="shared" si="11"/>
        <v>0</v>
      </c>
      <c r="U173" s="346">
        <v>73.857404021937839</v>
      </c>
      <c r="V173" s="346">
        <v>0.8</v>
      </c>
      <c r="W173" s="346">
        <f t="shared" si="12"/>
        <v>12</v>
      </c>
      <c r="X173" s="347">
        <f t="shared" si="13"/>
        <v>100</v>
      </c>
      <c r="Y173" s="348">
        <f t="shared" si="14"/>
        <v>71.258493326183839</v>
      </c>
      <c r="Z173" s="348">
        <f t="shared" si="15"/>
        <v>0.71258493326183836</v>
      </c>
    </row>
    <row r="174" spans="1:26" s="349" customFormat="1" ht="18.75">
      <c r="A174" s="334">
        <v>222</v>
      </c>
      <c r="B174" s="370" t="s">
        <v>46</v>
      </c>
      <c r="C174" s="335">
        <v>54.925974999999994</v>
      </c>
      <c r="D174" s="336">
        <v>84.501499999999993</v>
      </c>
      <c r="E174" s="337">
        <v>78.93305439330544</v>
      </c>
      <c r="F174" s="335">
        <v>0.8</v>
      </c>
      <c r="G174" s="338">
        <f>Tabela3521[[#This Row],[ICM]]*$C$2</f>
        <v>32</v>
      </c>
      <c r="H174" s="339">
        <v>169.08177000000003</v>
      </c>
      <c r="I174" s="340">
        <v>260.12580000000003</v>
      </c>
      <c r="J174" s="341">
        <v>265.67164179104475</v>
      </c>
      <c r="K174" s="341">
        <v>1</v>
      </c>
      <c r="L174" s="342">
        <f>Tabela3521[[#This Row],[ICM    ]]*$H$2</f>
        <v>15</v>
      </c>
      <c r="M174" s="340">
        <v>150.61514</v>
      </c>
      <c r="N174" s="340">
        <v>231.71559999999999</v>
      </c>
      <c r="O174" s="341">
        <v>258.20895522388059</v>
      </c>
      <c r="P174" s="343">
        <v>1</v>
      </c>
      <c r="Q174" s="342">
        <f>Tabela3521[[#This Row],[ICM      ]]*$M$2</f>
        <v>15</v>
      </c>
      <c r="R174" s="344">
        <v>0</v>
      </c>
      <c r="S174" s="345">
        <v>0</v>
      </c>
      <c r="T174" s="344">
        <f t="shared" si="11"/>
        <v>0</v>
      </c>
      <c r="U174" s="346">
        <v>88.65546218487394</v>
      </c>
      <c r="V174" s="346">
        <v>0.9</v>
      </c>
      <c r="W174" s="346">
        <f t="shared" si="12"/>
        <v>13.5</v>
      </c>
      <c r="X174" s="347">
        <f t="shared" si="13"/>
        <v>100</v>
      </c>
      <c r="Y174" s="348">
        <f t="shared" si="14"/>
        <v>75.5</v>
      </c>
      <c r="Z174" s="348">
        <f t="shared" si="15"/>
        <v>0.755</v>
      </c>
    </row>
    <row r="175" spans="1:26" s="349" customFormat="1" ht="18.75">
      <c r="A175" s="334">
        <v>223</v>
      </c>
      <c r="B175" s="370" t="s">
        <v>54</v>
      </c>
      <c r="C175" s="335">
        <v>43.187755000000003</v>
      </c>
      <c r="D175" s="336">
        <v>66.442700000000002</v>
      </c>
      <c r="E175" s="337">
        <v>76.870748299319729</v>
      </c>
      <c r="F175" s="335">
        <v>1</v>
      </c>
      <c r="G175" s="338">
        <f>Tabela3521[[#This Row],[ICM]]*$C$2</f>
        <v>40</v>
      </c>
      <c r="H175" s="339">
        <v>190.62147000000002</v>
      </c>
      <c r="I175" s="340">
        <v>293.2638</v>
      </c>
      <c r="J175" s="341">
        <v>275.71428571428572</v>
      </c>
      <c r="K175" s="341">
        <v>0.82902264313646934</v>
      </c>
      <c r="L175" s="342">
        <f>Tabela3521[[#This Row],[ICM    ]]*$H$2</f>
        <v>12.435339647047041</v>
      </c>
      <c r="M175" s="340">
        <v>162.44969</v>
      </c>
      <c r="N175" s="340">
        <v>249.92259999999999</v>
      </c>
      <c r="O175" s="341">
        <v>267.1875</v>
      </c>
      <c r="P175" s="343">
        <v>1</v>
      </c>
      <c r="Q175" s="342">
        <f>Tabela3521[[#This Row],[ICM      ]]*$M$2</f>
        <v>15</v>
      </c>
      <c r="R175" s="344">
        <v>0</v>
      </c>
      <c r="S175" s="345">
        <v>0</v>
      </c>
      <c r="T175" s="344">
        <f t="shared" si="11"/>
        <v>0</v>
      </c>
      <c r="U175" s="346">
        <v>89.380530973451329</v>
      </c>
      <c r="V175" s="346">
        <v>0.9</v>
      </c>
      <c r="W175" s="346">
        <f t="shared" si="12"/>
        <v>13.5</v>
      </c>
      <c r="X175" s="347">
        <f t="shared" si="13"/>
        <v>100</v>
      </c>
      <c r="Y175" s="348">
        <f t="shared" si="14"/>
        <v>80.935339647047044</v>
      </c>
      <c r="Z175" s="348">
        <f t="shared" si="15"/>
        <v>0.80935339647047044</v>
      </c>
    </row>
    <row r="176" spans="1:26" s="349" customFormat="1" ht="18.75">
      <c r="A176" s="334">
        <v>224</v>
      </c>
      <c r="B176" s="370" t="s">
        <v>165</v>
      </c>
      <c r="C176" s="335">
        <v>46.577570000000001</v>
      </c>
      <c r="D176" s="336">
        <v>71.657799999999995</v>
      </c>
      <c r="E176" s="337">
        <v>72.515527950310556</v>
      </c>
      <c r="F176" s="335">
        <v>1</v>
      </c>
      <c r="G176" s="338">
        <f>Tabela3521[[#This Row],[ICM]]*$C$2</f>
        <v>40</v>
      </c>
      <c r="H176" s="339">
        <v>156.71922500000002</v>
      </c>
      <c r="I176" s="340">
        <v>241.10650000000001</v>
      </c>
      <c r="J176" s="341">
        <v>221.12676056338029</v>
      </c>
      <c r="K176" s="341">
        <v>0.76323753271308115</v>
      </c>
      <c r="L176" s="342">
        <f>Tabela3521[[#This Row],[ICM    ]]*$H$2</f>
        <v>11.448562990696217</v>
      </c>
      <c r="M176" s="340">
        <v>121.31977000000001</v>
      </c>
      <c r="N176" s="340">
        <v>186.64580000000001</v>
      </c>
      <c r="O176" s="341">
        <v>196.35036496350364</v>
      </c>
      <c r="P176" s="343">
        <v>1</v>
      </c>
      <c r="Q176" s="342">
        <f>Tabela3521[[#This Row],[ICM      ]]*$M$2</f>
        <v>15</v>
      </c>
      <c r="R176" s="344">
        <v>0.41976047904191616</v>
      </c>
      <c r="S176" s="345">
        <v>0.5</v>
      </c>
      <c r="T176" s="344">
        <f t="shared" si="11"/>
        <v>7.5</v>
      </c>
      <c r="U176" s="346">
        <v>87.564766839378237</v>
      </c>
      <c r="V176" s="346">
        <v>0.9</v>
      </c>
      <c r="W176" s="346">
        <f t="shared" si="12"/>
        <v>13.5</v>
      </c>
      <c r="X176" s="347">
        <f t="shared" si="13"/>
        <v>100</v>
      </c>
      <c r="Y176" s="348">
        <f t="shared" si="14"/>
        <v>87.448562990696217</v>
      </c>
      <c r="Z176" s="348">
        <f t="shared" si="15"/>
        <v>0.87448562990696221</v>
      </c>
    </row>
    <row r="177" spans="1:26" s="349" customFormat="1" ht="18.75">
      <c r="A177" s="334">
        <v>225</v>
      </c>
      <c r="B177" s="370" t="s">
        <v>117</v>
      </c>
      <c r="C177" s="335">
        <v>43.587700000000005</v>
      </c>
      <c r="D177" s="336">
        <v>67.058000000000007</v>
      </c>
      <c r="E177" s="337">
        <v>69.385593220338976</v>
      </c>
      <c r="F177" s="335">
        <v>1</v>
      </c>
      <c r="G177" s="338">
        <f>Tabela3521[[#This Row],[ICM]]*$C$2</f>
        <v>40</v>
      </c>
      <c r="H177" s="339">
        <v>175.65580500000002</v>
      </c>
      <c r="I177" s="340">
        <v>270.23970000000003</v>
      </c>
      <c r="J177" s="341">
        <v>235.18518518518516</v>
      </c>
      <c r="K177" s="341">
        <v>0.62938177990222477</v>
      </c>
      <c r="L177" s="342">
        <f>Tabela3521[[#This Row],[ICM    ]]*$H$2</f>
        <v>9.4407266985333713</v>
      </c>
      <c r="M177" s="340">
        <v>161.93514999999999</v>
      </c>
      <c r="N177" s="340">
        <v>249.131</v>
      </c>
      <c r="O177" s="341">
        <v>214.01869158878503</v>
      </c>
      <c r="P177" s="343">
        <v>0.59731674831755222</v>
      </c>
      <c r="Q177" s="342">
        <f>Tabela3521[[#This Row],[ICM      ]]*$M$2</f>
        <v>8.9597512247632825</v>
      </c>
      <c r="R177" s="344">
        <v>0</v>
      </c>
      <c r="S177" s="345">
        <v>0</v>
      </c>
      <c r="T177" s="344">
        <f t="shared" si="11"/>
        <v>0</v>
      </c>
      <c r="U177" s="346">
        <v>81.17647058823529</v>
      </c>
      <c r="V177" s="346">
        <v>0.9</v>
      </c>
      <c r="W177" s="346">
        <f t="shared" si="12"/>
        <v>13.5</v>
      </c>
      <c r="X177" s="347">
        <f t="shared" si="13"/>
        <v>100</v>
      </c>
      <c r="Y177" s="348">
        <f t="shared" si="14"/>
        <v>71.900477923296648</v>
      </c>
      <c r="Z177" s="348">
        <f t="shared" si="15"/>
        <v>0.71900477923296646</v>
      </c>
    </row>
    <row r="178" spans="1:26" s="349" customFormat="1" ht="18.75">
      <c r="A178" s="334">
        <v>226</v>
      </c>
      <c r="B178" s="370" t="s">
        <v>209</v>
      </c>
      <c r="C178" s="335">
        <v>41.083445000000005</v>
      </c>
      <c r="D178" s="336">
        <v>63.205300000000001</v>
      </c>
      <c r="E178" s="337">
        <v>64.825258737063152</v>
      </c>
      <c r="F178" s="335">
        <v>1</v>
      </c>
      <c r="G178" s="338">
        <f>Tabela3521[[#This Row],[ICM]]*$C$2</f>
        <v>40</v>
      </c>
      <c r="H178" s="339">
        <v>154.131575</v>
      </c>
      <c r="I178" s="340">
        <v>237.12549999999999</v>
      </c>
      <c r="J178" s="341">
        <v>199.31506849315068</v>
      </c>
      <c r="K178" s="341">
        <v>0.54441928723277866</v>
      </c>
      <c r="L178" s="342">
        <f>Tabela3521[[#This Row],[ICM    ]]*$H$2</f>
        <v>8.1662893084916792</v>
      </c>
      <c r="M178" s="340">
        <v>137.36554000000001</v>
      </c>
      <c r="N178" s="340">
        <v>211.33160000000001</v>
      </c>
      <c r="O178" s="341">
        <v>209.72222222222223</v>
      </c>
      <c r="P178" s="343">
        <v>0.97824167222402036</v>
      </c>
      <c r="Q178" s="342">
        <f>Tabela3521[[#This Row],[ICM      ]]*$M$2</f>
        <v>14.673625083360305</v>
      </c>
      <c r="R178" s="344">
        <v>0.41046885035324343</v>
      </c>
      <c r="S178" s="345">
        <v>0.5</v>
      </c>
      <c r="T178" s="344">
        <f t="shared" si="11"/>
        <v>7.5</v>
      </c>
      <c r="U178" s="346">
        <v>92.857142857142861</v>
      </c>
      <c r="V178" s="346">
        <v>1</v>
      </c>
      <c r="W178" s="346">
        <f t="shared" si="12"/>
        <v>15</v>
      </c>
      <c r="X178" s="347">
        <f t="shared" si="13"/>
        <v>100</v>
      </c>
      <c r="Y178" s="348">
        <f t="shared" si="14"/>
        <v>85.339914391851977</v>
      </c>
      <c r="Z178" s="348">
        <f t="shared" si="15"/>
        <v>0.85339914391851979</v>
      </c>
    </row>
    <row r="179" spans="1:26" s="349" customFormat="1" ht="18.75">
      <c r="A179" s="334">
        <v>227</v>
      </c>
      <c r="B179" s="370" t="s">
        <v>30</v>
      </c>
      <c r="C179" s="335">
        <v>51.256790000000002</v>
      </c>
      <c r="D179" s="336">
        <v>78.8566</v>
      </c>
      <c r="E179" s="337">
        <v>73.918575063613233</v>
      </c>
      <c r="F179" s="335">
        <v>0.9</v>
      </c>
      <c r="G179" s="338">
        <f>Tabela3521[[#This Row],[ICM]]*$C$2</f>
        <v>36</v>
      </c>
      <c r="H179" s="339">
        <v>153.52187499999999</v>
      </c>
      <c r="I179" s="340">
        <v>236.1875</v>
      </c>
      <c r="J179" s="341">
        <v>239.79591836734699</v>
      </c>
      <c r="K179" s="341">
        <v>1</v>
      </c>
      <c r="L179" s="342">
        <f>Tabela3521[[#This Row],[ICM    ]]*$H$2</f>
        <v>15</v>
      </c>
      <c r="M179" s="340">
        <v>150.37178</v>
      </c>
      <c r="N179" s="340">
        <v>231.34119999999999</v>
      </c>
      <c r="O179" s="341">
        <v>225.38860103626945</v>
      </c>
      <c r="P179" s="343">
        <v>0.9264833691073675</v>
      </c>
      <c r="Q179" s="342">
        <f>Tabela3521[[#This Row],[ICM      ]]*$M$2</f>
        <v>13.897250536610512</v>
      </c>
      <c r="R179" s="344">
        <v>0</v>
      </c>
      <c r="S179" s="345">
        <v>0</v>
      </c>
      <c r="T179" s="344">
        <f t="shared" si="11"/>
        <v>0</v>
      </c>
      <c r="U179" s="346">
        <v>89.411764705882362</v>
      </c>
      <c r="V179" s="346">
        <v>0.9</v>
      </c>
      <c r="W179" s="346">
        <f t="shared" si="12"/>
        <v>13.5</v>
      </c>
      <c r="X179" s="347">
        <f t="shared" si="13"/>
        <v>100</v>
      </c>
      <c r="Y179" s="348">
        <f t="shared" si="14"/>
        <v>78.397250536610514</v>
      </c>
      <c r="Z179" s="348">
        <f t="shared" si="15"/>
        <v>0.78397250536610519</v>
      </c>
    </row>
    <row r="180" spans="1:26" s="349" customFormat="1" ht="18.75">
      <c r="A180" s="334">
        <v>228</v>
      </c>
      <c r="B180" s="370" t="s">
        <v>47</v>
      </c>
      <c r="C180" s="335">
        <v>52.339755000000004</v>
      </c>
      <c r="D180" s="336">
        <v>80.5227</v>
      </c>
      <c r="E180" s="337">
        <v>80.707286432160814</v>
      </c>
      <c r="F180" s="335">
        <v>1</v>
      </c>
      <c r="G180" s="338">
        <f>Tabela3521[[#This Row],[ICM]]*$C$2</f>
        <v>40</v>
      </c>
      <c r="H180" s="339">
        <v>163.15935999999999</v>
      </c>
      <c r="I180" s="340">
        <v>251.01439999999999</v>
      </c>
      <c r="J180" s="341">
        <v>215.95092024539878</v>
      </c>
      <c r="K180" s="341">
        <v>0.60089392988038914</v>
      </c>
      <c r="L180" s="342">
        <f>Tabela3521[[#This Row],[ICM    ]]*$H$2</f>
        <v>9.0134089482058375</v>
      </c>
      <c r="M180" s="340">
        <v>148.71863500000001</v>
      </c>
      <c r="N180" s="340">
        <v>228.7979</v>
      </c>
      <c r="O180" s="341">
        <v>224.67532467532467</v>
      </c>
      <c r="P180" s="343">
        <v>0.9485188166415448</v>
      </c>
      <c r="Q180" s="342">
        <f>Tabela3521[[#This Row],[ICM      ]]*$M$2</f>
        <v>14.227782249623171</v>
      </c>
      <c r="R180" s="344">
        <v>0.31908169350029814</v>
      </c>
      <c r="S180" s="345">
        <v>0</v>
      </c>
      <c r="T180" s="344">
        <f t="shared" si="11"/>
        <v>0</v>
      </c>
      <c r="U180" s="346">
        <v>79.260780287474333</v>
      </c>
      <c r="V180" s="346">
        <v>0.8</v>
      </c>
      <c r="W180" s="346">
        <f t="shared" si="12"/>
        <v>12</v>
      </c>
      <c r="X180" s="347">
        <f t="shared" si="13"/>
        <v>100</v>
      </c>
      <c r="Y180" s="348">
        <f t="shared" si="14"/>
        <v>75.241191197829011</v>
      </c>
      <c r="Z180" s="348">
        <f t="shared" si="15"/>
        <v>0.75241191197829016</v>
      </c>
    </row>
    <row r="181" spans="1:26" s="349" customFormat="1" ht="18.75">
      <c r="A181" s="334">
        <v>229</v>
      </c>
      <c r="B181" s="370" t="s">
        <v>151</v>
      </c>
      <c r="C181" s="335">
        <v>43.026425000000003</v>
      </c>
      <c r="D181" s="336">
        <v>66.194500000000005</v>
      </c>
      <c r="E181" s="337">
        <v>70.704705130934627</v>
      </c>
      <c r="F181" s="335">
        <v>1</v>
      </c>
      <c r="G181" s="338">
        <f>Tabela3521[[#This Row],[ICM]]*$C$2</f>
        <v>40</v>
      </c>
      <c r="H181" s="339">
        <v>155.39420000000001</v>
      </c>
      <c r="I181" s="340">
        <v>239.06800000000001</v>
      </c>
      <c r="J181" s="341">
        <v>233.08823529411765</v>
      </c>
      <c r="K181" s="341">
        <v>0.92853480174340886</v>
      </c>
      <c r="L181" s="342">
        <f>Tabela3521[[#This Row],[ICM    ]]*$H$2</f>
        <v>13.928022026151133</v>
      </c>
      <c r="M181" s="340">
        <v>130.63154</v>
      </c>
      <c r="N181" s="340">
        <v>200.9716</v>
      </c>
      <c r="O181" s="341">
        <v>199.20634920634919</v>
      </c>
      <c r="P181" s="343">
        <v>0.97490404765576244</v>
      </c>
      <c r="Q181" s="342">
        <f>Tabela3521[[#This Row],[ICM      ]]*$M$2</f>
        <v>14.623560714836437</v>
      </c>
      <c r="R181" s="344">
        <v>0.62015658362989334</v>
      </c>
      <c r="S181" s="345">
        <v>0.7</v>
      </c>
      <c r="T181" s="344">
        <f t="shared" si="11"/>
        <v>10.5</v>
      </c>
      <c r="U181" s="346">
        <v>71.19741100323624</v>
      </c>
      <c r="V181" s="346">
        <v>0.8</v>
      </c>
      <c r="W181" s="346">
        <f t="shared" si="12"/>
        <v>12</v>
      </c>
      <c r="X181" s="347">
        <f t="shared" si="13"/>
        <v>100</v>
      </c>
      <c r="Y181" s="348">
        <f t="shared" si="14"/>
        <v>91.05158274098757</v>
      </c>
      <c r="Z181" s="348">
        <f t="shared" si="15"/>
        <v>0.91051582740987569</v>
      </c>
    </row>
    <row r="182" spans="1:26" s="349" customFormat="1" ht="18.75">
      <c r="A182" s="334">
        <v>230</v>
      </c>
      <c r="B182" s="370" t="s">
        <v>141</v>
      </c>
      <c r="C182" s="335">
        <v>47.671909999999997</v>
      </c>
      <c r="D182" s="336">
        <v>73.341399999999993</v>
      </c>
      <c r="E182" s="337">
        <v>70.571428571428569</v>
      </c>
      <c r="F182" s="335">
        <v>0.7</v>
      </c>
      <c r="G182" s="338">
        <f>Tabela3521[[#This Row],[ICM]]*$C$2</f>
        <v>28</v>
      </c>
      <c r="H182" s="339">
        <v>156.15548000000001</v>
      </c>
      <c r="I182" s="340">
        <v>240.23920000000001</v>
      </c>
      <c r="J182" s="341">
        <v>235.18518518518522</v>
      </c>
      <c r="K182" s="341">
        <v>0.93989306354648927</v>
      </c>
      <c r="L182" s="342">
        <f>Tabela3521[[#This Row],[ICM    ]]*$H$2</f>
        <v>14.09839595319734</v>
      </c>
      <c r="M182" s="340">
        <v>138.61919500000002</v>
      </c>
      <c r="N182" s="340">
        <v>213.2603</v>
      </c>
      <c r="O182" s="341">
        <v>225.47169811320754</v>
      </c>
      <c r="P182" s="343">
        <v>1</v>
      </c>
      <c r="Q182" s="342">
        <f>Tabela3521[[#This Row],[ICM      ]]*$M$2</f>
        <v>15</v>
      </c>
      <c r="R182" s="344">
        <v>0.32905569007263924</v>
      </c>
      <c r="S182" s="345">
        <v>0</v>
      </c>
      <c r="T182" s="344">
        <f t="shared" si="11"/>
        <v>0</v>
      </c>
      <c r="U182" s="346">
        <v>90.092165898617509</v>
      </c>
      <c r="V182" s="346">
        <v>1</v>
      </c>
      <c r="W182" s="346">
        <f t="shared" si="12"/>
        <v>15</v>
      </c>
      <c r="X182" s="347">
        <f t="shared" si="13"/>
        <v>100</v>
      </c>
      <c r="Y182" s="348">
        <f t="shared" si="14"/>
        <v>72.09839595319734</v>
      </c>
      <c r="Z182" s="348">
        <f t="shared" si="15"/>
        <v>0.72098395953197336</v>
      </c>
    </row>
    <row r="183" spans="1:26" s="349" customFormat="1" ht="18.75">
      <c r="A183" s="334">
        <v>231</v>
      </c>
      <c r="B183" s="370" t="s">
        <v>41</v>
      </c>
      <c r="C183" s="335">
        <v>59.456085000000002</v>
      </c>
      <c r="D183" s="336">
        <v>91.4709</v>
      </c>
      <c r="E183" s="337">
        <v>89.927652733118961</v>
      </c>
      <c r="F183" s="335">
        <v>0.95</v>
      </c>
      <c r="G183" s="338">
        <f>Tabela3521[[#This Row],[ICM]]*$C$2</f>
        <v>38</v>
      </c>
      <c r="H183" s="339">
        <v>152.15772000000001</v>
      </c>
      <c r="I183" s="340">
        <v>234.08879999999999</v>
      </c>
      <c r="J183" s="341">
        <v>231.96347031963469</v>
      </c>
      <c r="K183" s="341">
        <v>0.97405954272340489</v>
      </c>
      <c r="L183" s="342">
        <f>Tabela3521[[#This Row],[ICM    ]]*$H$2</f>
        <v>14.610893140851074</v>
      </c>
      <c r="M183" s="340">
        <v>142.65686500000001</v>
      </c>
      <c r="N183" s="340">
        <v>219.47210000000001</v>
      </c>
      <c r="O183" s="341">
        <v>220.37037037037038</v>
      </c>
      <c r="P183" s="343">
        <v>1</v>
      </c>
      <c r="Q183" s="342">
        <f>Tabela3521[[#This Row],[ICM      ]]*$M$2</f>
        <v>15</v>
      </c>
      <c r="R183" s="344">
        <v>0.85495607102681304</v>
      </c>
      <c r="S183" s="345">
        <v>1</v>
      </c>
      <c r="T183" s="344">
        <f t="shared" si="11"/>
        <v>15</v>
      </c>
      <c r="U183" s="346">
        <v>93.920972644376903</v>
      </c>
      <c r="V183" s="346">
        <v>1</v>
      </c>
      <c r="W183" s="346">
        <f t="shared" si="12"/>
        <v>15</v>
      </c>
      <c r="X183" s="347">
        <f t="shared" si="13"/>
        <v>100</v>
      </c>
      <c r="Y183" s="348">
        <f t="shared" si="14"/>
        <v>97.610893140851076</v>
      </c>
      <c r="Z183" s="348">
        <f t="shared" si="15"/>
        <v>0.97610893140851074</v>
      </c>
    </row>
    <row r="184" spans="1:26" s="349" customFormat="1" ht="18.75">
      <c r="A184" s="334">
        <v>232</v>
      </c>
      <c r="B184" s="370" t="s">
        <v>107</v>
      </c>
      <c r="C184" s="335">
        <v>56.61448</v>
      </c>
      <c r="D184" s="336">
        <v>87.099199999999996</v>
      </c>
      <c r="E184" s="337">
        <v>65.922490652861669</v>
      </c>
      <c r="F184" s="335">
        <v>0.5</v>
      </c>
      <c r="G184" s="338">
        <f>Tabela3521[[#This Row],[ICM]]*$C$2</f>
        <v>20</v>
      </c>
      <c r="H184" s="339">
        <v>169.42432000000002</v>
      </c>
      <c r="I184" s="340">
        <v>260.65280000000001</v>
      </c>
      <c r="J184" s="341">
        <v>250.87719298245611</v>
      </c>
      <c r="K184" s="341">
        <v>0.89284478906648557</v>
      </c>
      <c r="L184" s="342">
        <f>Tabela3521[[#This Row],[ICM    ]]*$H$2</f>
        <v>13.392671835997284</v>
      </c>
      <c r="M184" s="340">
        <v>167.94023999999999</v>
      </c>
      <c r="N184" s="340">
        <v>258.36959999999999</v>
      </c>
      <c r="O184" s="341">
        <v>264.60176991150445</v>
      </c>
      <c r="P184" s="343">
        <v>1</v>
      </c>
      <c r="Q184" s="342">
        <f>Tabela3521[[#This Row],[ICM      ]]*$M$2</f>
        <v>15</v>
      </c>
      <c r="R184" s="344">
        <v>0.46910569105691058</v>
      </c>
      <c r="S184" s="345">
        <v>0.5</v>
      </c>
      <c r="T184" s="344">
        <f t="shared" si="11"/>
        <v>7.5</v>
      </c>
      <c r="U184" s="346">
        <v>100</v>
      </c>
      <c r="V184" s="346">
        <v>1</v>
      </c>
      <c r="W184" s="346">
        <f t="shared" si="12"/>
        <v>15</v>
      </c>
      <c r="X184" s="347">
        <f t="shared" si="13"/>
        <v>100</v>
      </c>
      <c r="Y184" s="348">
        <f t="shared" si="14"/>
        <v>70.892671835997277</v>
      </c>
      <c r="Z184" s="348">
        <f t="shared" si="15"/>
        <v>0.70892671835997279</v>
      </c>
    </row>
    <row r="185" spans="1:26" s="349" customFormat="1" ht="18.75">
      <c r="A185" s="334">
        <v>233</v>
      </c>
      <c r="B185" s="370" t="s">
        <v>21</v>
      </c>
      <c r="C185" s="335">
        <v>48.130160000000004</v>
      </c>
      <c r="D185" s="336">
        <v>74.046400000000006</v>
      </c>
      <c r="E185" s="337">
        <v>78.882137166993957</v>
      </c>
      <c r="F185" s="335">
        <v>1</v>
      </c>
      <c r="G185" s="338">
        <f>Tabela3521[[#This Row],[ICM]]*$C$2</f>
        <v>40</v>
      </c>
      <c r="H185" s="339">
        <v>141.70370499999999</v>
      </c>
      <c r="I185" s="340">
        <v>218.00569999999999</v>
      </c>
      <c r="J185" s="341">
        <v>189.8989898989899</v>
      </c>
      <c r="K185" s="341">
        <v>0.6316385947574491</v>
      </c>
      <c r="L185" s="342">
        <f>Tabela3521[[#This Row],[ICM    ]]*$H$2</f>
        <v>9.4745789213617364</v>
      </c>
      <c r="M185" s="340">
        <v>132.36314000000002</v>
      </c>
      <c r="N185" s="340">
        <v>203.63560000000001</v>
      </c>
      <c r="O185" s="341">
        <v>176.08695652173915</v>
      </c>
      <c r="P185" s="343">
        <v>0.61347421601189489</v>
      </c>
      <c r="Q185" s="342">
        <f>Tabela3521[[#This Row],[ICM      ]]*$M$2</f>
        <v>9.2021132401784236</v>
      </c>
      <c r="R185" s="344">
        <v>0.3</v>
      </c>
      <c r="S185" s="345">
        <v>0</v>
      </c>
      <c r="T185" s="344">
        <f t="shared" si="11"/>
        <v>0</v>
      </c>
      <c r="U185" s="346">
        <v>83.520599250936328</v>
      </c>
      <c r="V185" s="346">
        <v>0.9</v>
      </c>
      <c r="W185" s="346">
        <f t="shared" si="12"/>
        <v>13.5</v>
      </c>
      <c r="X185" s="347">
        <f t="shared" si="13"/>
        <v>100</v>
      </c>
      <c r="Y185" s="348">
        <f t="shared" si="14"/>
        <v>72.17669216154016</v>
      </c>
      <c r="Z185" s="348">
        <f t="shared" si="15"/>
        <v>0.72176692161540157</v>
      </c>
    </row>
    <row r="186" spans="1:26" s="349" customFormat="1" ht="18.75">
      <c r="A186" s="334">
        <v>234</v>
      </c>
      <c r="B186" s="370" t="s">
        <v>170</v>
      </c>
      <c r="C186" s="335">
        <v>42.930095000000001</v>
      </c>
      <c r="D186" s="336">
        <v>66.046300000000002</v>
      </c>
      <c r="E186" s="337">
        <v>68.611847922192752</v>
      </c>
      <c r="F186" s="335">
        <v>1</v>
      </c>
      <c r="G186" s="338">
        <f>Tabela3521[[#This Row],[ICM]]*$C$2</f>
        <v>40</v>
      </c>
      <c r="H186" s="339">
        <v>169.945165</v>
      </c>
      <c r="I186" s="340">
        <v>261.45409999999998</v>
      </c>
      <c r="J186" s="341">
        <v>246.47058823529409</v>
      </c>
      <c r="K186" s="341">
        <v>0.83626176214698711</v>
      </c>
      <c r="L186" s="342">
        <f>Tabela3521[[#This Row],[ICM    ]]*$H$2</f>
        <v>12.543926432204806</v>
      </c>
      <c r="M186" s="340">
        <v>155.354355</v>
      </c>
      <c r="N186" s="340">
        <v>239.0067</v>
      </c>
      <c r="O186" s="341">
        <v>231.54761904761904</v>
      </c>
      <c r="P186" s="343">
        <v>0.91083237472445089</v>
      </c>
      <c r="Q186" s="342">
        <f>Tabela3521[[#This Row],[ICM      ]]*$M$2</f>
        <v>13.662485620866763</v>
      </c>
      <c r="R186" s="344">
        <v>0.5</v>
      </c>
      <c r="S186" s="345">
        <v>0.6</v>
      </c>
      <c r="T186" s="344">
        <f t="shared" si="11"/>
        <v>9</v>
      </c>
      <c r="U186" s="346">
        <v>93.452380952380949</v>
      </c>
      <c r="V186" s="346">
        <v>1</v>
      </c>
      <c r="W186" s="346">
        <f t="shared" si="12"/>
        <v>15</v>
      </c>
      <c r="X186" s="347">
        <f t="shared" si="13"/>
        <v>100</v>
      </c>
      <c r="Y186" s="348">
        <f t="shared" si="14"/>
        <v>90.206412053071574</v>
      </c>
      <c r="Z186" s="348">
        <f t="shared" si="15"/>
        <v>0.90206412053071572</v>
      </c>
    </row>
    <row r="187" spans="1:26" s="349" customFormat="1" ht="18.75">
      <c r="A187" s="334">
        <v>235</v>
      </c>
      <c r="B187" s="370" t="s">
        <v>177</v>
      </c>
      <c r="C187" s="335">
        <v>51.499369999999999</v>
      </c>
      <c r="D187" s="336">
        <v>79.229799999999997</v>
      </c>
      <c r="E187" s="337">
        <v>77.095238095238088</v>
      </c>
      <c r="F187" s="335">
        <v>0.8</v>
      </c>
      <c r="G187" s="338">
        <f>Tabela3521[[#This Row],[ICM]]*$C$2</f>
        <v>32</v>
      </c>
      <c r="H187" s="339">
        <v>162.93549999999999</v>
      </c>
      <c r="I187" s="340">
        <v>250.67</v>
      </c>
      <c r="J187" s="341">
        <v>214.92537313432837</v>
      </c>
      <c r="K187" s="341">
        <v>0.59258185929512774</v>
      </c>
      <c r="L187" s="342">
        <f>Tabela3521[[#This Row],[ICM    ]]*$H$2</f>
        <v>8.8887278894269155</v>
      </c>
      <c r="M187" s="340">
        <v>137.32576</v>
      </c>
      <c r="N187" s="340">
        <v>211.2704</v>
      </c>
      <c r="O187" s="341">
        <v>228.125</v>
      </c>
      <c r="P187" s="343">
        <v>1</v>
      </c>
      <c r="Q187" s="342">
        <f>Tabela3521[[#This Row],[ICM      ]]*$M$2</f>
        <v>15</v>
      </c>
      <c r="R187" s="344">
        <v>0.36106870229007632</v>
      </c>
      <c r="S187" s="345">
        <v>0</v>
      </c>
      <c r="T187" s="344">
        <f t="shared" si="11"/>
        <v>0</v>
      </c>
      <c r="U187" s="346">
        <v>99.622641509433961</v>
      </c>
      <c r="V187" s="346">
        <v>1</v>
      </c>
      <c r="W187" s="346">
        <f t="shared" si="12"/>
        <v>15</v>
      </c>
      <c r="X187" s="347">
        <f t="shared" si="13"/>
        <v>100</v>
      </c>
      <c r="Y187" s="348">
        <f t="shared" si="14"/>
        <v>70.888727889426917</v>
      </c>
      <c r="Z187" s="348">
        <f t="shared" si="15"/>
        <v>0.70888727889426917</v>
      </c>
    </row>
    <row r="188" spans="1:26" s="349" customFormat="1" ht="18.75">
      <c r="A188" s="334">
        <v>236</v>
      </c>
      <c r="B188" s="370" t="s">
        <v>44</v>
      </c>
      <c r="C188" s="335">
        <v>47.913254999999999</v>
      </c>
      <c r="D188" s="336">
        <v>73.712699999999998</v>
      </c>
      <c r="E188" s="337">
        <v>56.559405940594054</v>
      </c>
      <c r="F188" s="335">
        <v>0.5</v>
      </c>
      <c r="G188" s="338">
        <f>Tabela3521[[#This Row],[ICM]]*$C$2</f>
        <v>20</v>
      </c>
      <c r="H188" s="339">
        <v>156.02691000000002</v>
      </c>
      <c r="I188" s="340">
        <v>240.04140000000001</v>
      </c>
      <c r="J188" s="341">
        <v>237.80487804878049</v>
      </c>
      <c r="K188" s="341">
        <v>0.97337933074140526</v>
      </c>
      <c r="L188" s="342">
        <f>Tabela3521[[#This Row],[ICM    ]]*$H$2</f>
        <v>14.600689961121079</v>
      </c>
      <c r="M188" s="340">
        <v>73.047650000000004</v>
      </c>
      <c r="N188" s="340">
        <v>112.381</v>
      </c>
      <c r="O188" s="341">
        <v>218.98734177215189</v>
      </c>
      <c r="P188" s="343">
        <v>1</v>
      </c>
      <c r="Q188" s="342">
        <f>Tabela3521[[#This Row],[ICM      ]]*$M$2</f>
        <v>15</v>
      </c>
      <c r="R188" s="344">
        <v>0.32614379084967321</v>
      </c>
      <c r="S188" s="345">
        <v>0</v>
      </c>
      <c r="T188" s="344">
        <f t="shared" si="11"/>
        <v>0</v>
      </c>
      <c r="U188" s="346">
        <v>93.798449612403104</v>
      </c>
      <c r="V188" s="346">
        <v>1</v>
      </c>
      <c r="W188" s="346">
        <f t="shared" si="12"/>
        <v>15</v>
      </c>
      <c r="X188" s="347">
        <f t="shared" si="13"/>
        <v>100</v>
      </c>
      <c r="Y188" s="348">
        <f t="shared" si="14"/>
        <v>64.600689961121077</v>
      </c>
      <c r="Z188" s="348">
        <f t="shared" si="15"/>
        <v>0.64600689961121072</v>
      </c>
    </row>
    <row r="189" spans="1:26" s="349" customFormat="1" ht="18.75">
      <c r="A189" s="334">
        <v>237</v>
      </c>
      <c r="B189" s="370" t="s">
        <v>109</v>
      </c>
      <c r="C189" s="335">
        <v>46.2072</v>
      </c>
      <c r="D189" s="336">
        <v>71.087999999999994</v>
      </c>
      <c r="E189" s="337">
        <v>73.75</v>
      </c>
      <c r="F189" s="335">
        <v>1</v>
      </c>
      <c r="G189" s="338">
        <f>Tabela3521[[#This Row],[ICM]]*$C$2</f>
        <v>40</v>
      </c>
      <c r="H189" s="339">
        <v>108.32581500000001</v>
      </c>
      <c r="I189" s="340">
        <v>166.6551</v>
      </c>
      <c r="J189" s="341">
        <v>172.72727272727272</v>
      </c>
      <c r="K189" s="341">
        <v>1</v>
      </c>
      <c r="L189" s="342">
        <f>Tabela3521[[#This Row],[ICM    ]]*$H$2</f>
        <v>15</v>
      </c>
      <c r="M189" s="340">
        <v>97.887140000000002</v>
      </c>
      <c r="N189" s="340">
        <v>150.59559999999999</v>
      </c>
      <c r="O189" s="341">
        <v>171.21212121212122</v>
      </c>
      <c r="P189" s="343">
        <v>1</v>
      </c>
      <c r="Q189" s="342">
        <f>Tabela3521[[#This Row],[ICM      ]]*$M$2</f>
        <v>15</v>
      </c>
      <c r="R189" s="344">
        <v>0.49141914191419145</v>
      </c>
      <c r="S189" s="345">
        <v>0.5</v>
      </c>
      <c r="T189" s="344">
        <f t="shared" si="11"/>
        <v>7.5</v>
      </c>
      <c r="U189" s="346">
        <v>91.666666666666657</v>
      </c>
      <c r="V189" s="346">
        <v>1</v>
      </c>
      <c r="W189" s="346">
        <f t="shared" si="12"/>
        <v>15</v>
      </c>
      <c r="X189" s="347">
        <f t="shared" si="13"/>
        <v>100</v>
      </c>
      <c r="Y189" s="348">
        <f t="shared" si="14"/>
        <v>92.5</v>
      </c>
      <c r="Z189" s="348">
        <f t="shared" si="15"/>
        <v>0.92500000000000004</v>
      </c>
    </row>
    <row r="190" spans="1:26" s="349" customFormat="1" ht="18.75">
      <c r="A190" s="334">
        <v>238</v>
      </c>
      <c r="B190" s="370" t="s">
        <v>6</v>
      </c>
      <c r="C190" s="335">
        <v>53.21537</v>
      </c>
      <c r="D190" s="336">
        <v>81.869799999999998</v>
      </c>
      <c r="E190" s="337">
        <v>79.256272401433691</v>
      </c>
      <c r="F190" s="335">
        <v>0.8</v>
      </c>
      <c r="G190" s="338">
        <f>Tabela3521[[#This Row],[ICM]]*$C$2</f>
        <v>32</v>
      </c>
      <c r="H190" s="339">
        <v>194.07427000000001</v>
      </c>
      <c r="I190" s="340">
        <v>298.57580000000002</v>
      </c>
      <c r="J190" s="341">
        <v>258.62068965517244</v>
      </c>
      <c r="K190" s="341">
        <v>0.61766004435698152</v>
      </c>
      <c r="L190" s="342">
        <f>Tabela3521[[#This Row],[ICM    ]]*$H$2</f>
        <v>9.2649006653547232</v>
      </c>
      <c r="M190" s="340">
        <v>163.12477999999999</v>
      </c>
      <c r="N190" s="340">
        <v>250.96119999999999</v>
      </c>
      <c r="O190" s="341">
        <v>259.2920353982301</v>
      </c>
      <c r="P190" s="343">
        <v>1</v>
      </c>
      <c r="Q190" s="342">
        <f>Tabela3521[[#This Row],[ICM      ]]*$M$2</f>
        <v>15</v>
      </c>
      <c r="R190" s="344">
        <v>0.33432003432003432</v>
      </c>
      <c r="S190" s="345">
        <v>0</v>
      </c>
      <c r="T190" s="344">
        <f t="shared" si="11"/>
        <v>0</v>
      </c>
      <c r="U190" s="346">
        <v>79.464285714285708</v>
      </c>
      <c r="V190" s="346">
        <v>0.8</v>
      </c>
      <c r="W190" s="346">
        <f t="shared" si="12"/>
        <v>12</v>
      </c>
      <c r="X190" s="347">
        <f t="shared" si="13"/>
        <v>100</v>
      </c>
      <c r="Y190" s="348">
        <f t="shared" si="14"/>
        <v>68.26490066535473</v>
      </c>
      <c r="Z190" s="348">
        <f t="shared" si="15"/>
        <v>0.68264900665354733</v>
      </c>
    </row>
    <row r="191" spans="1:26" s="349" customFormat="1" ht="18.75">
      <c r="A191" s="334">
        <v>239</v>
      </c>
      <c r="B191" s="370" t="s">
        <v>14</v>
      </c>
      <c r="C191" s="335">
        <v>53.551159999999996</v>
      </c>
      <c r="D191" s="336">
        <v>82.386399999999995</v>
      </c>
      <c r="E191" s="337">
        <v>61.558752997601914</v>
      </c>
      <c r="F191" s="335">
        <v>0.5</v>
      </c>
      <c r="G191" s="338">
        <f>Tabela3521[[#This Row],[ICM]]*$C$2</f>
        <v>20</v>
      </c>
      <c r="H191" s="339">
        <v>185.51942499999998</v>
      </c>
      <c r="I191" s="340">
        <v>285.41449999999998</v>
      </c>
      <c r="J191" s="341">
        <v>286.88524590163934</v>
      </c>
      <c r="K191" s="341">
        <v>1</v>
      </c>
      <c r="L191" s="342">
        <f>Tabela3521[[#This Row],[ICM    ]]*$H$2</f>
        <v>15</v>
      </c>
      <c r="M191" s="340">
        <v>167.73730999999998</v>
      </c>
      <c r="N191" s="340">
        <v>258.05739999999997</v>
      </c>
      <c r="O191" s="341">
        <v>264.51612903225805</v>
      </c>
      <c r="P191" s="343">
        <v>1</v>
      </c>
      <c r="Q191" s="342">
        <f>Tabela3521[[#This Row],[ICM      ]]*$M$2</f>
        <v>15</v>
      </c>
      <c r="R191" s="344">
        <v>0.47837235228539576</v>
      </c>
      <c r="S191" s="345">
        <v>0.5</v>
      </c>
      <c r="T191" s="344">
        <f t="shared" si="11"/>
        <v>7.5</v>
      </c>
      <c r="U191" s="346">
        <v>85.820895522388057</v>
      </c>
      <c r="V191" s="346">
        <v>0.9</v>
      </c>
      <c r="W191" s="346">
        <f t="shared" si="12"/>
        <v>13.5</v>
      </c>
      <c r="X191" s="347">
        <f t="shared" si="13"/>
        <v>100</v>
      </c>
      <c r="Y191" s="348">
        <f t="shared" si="14"/>
        <v>71</v>
      </c>
      <c r="Z191" s="348">
        <f t="shared" si="15"/>
        <v>0.71</v>
      </c>
    </row>
    <row r="192" spans="1:26" s="349" customFormat="1" ht="18.75">
      <c r="A192" s="334">
        <v>240</v>
      </c>
      <c r="B192" s="370" t="s">
        <v>164</v>
      </c>
      <c r="C192" s="335">
        <v>39.127465000000001</v>
      </c>
      <c r="D192" s="336">
        <v>60.196100000000001</v>
      </c>
      <c r="E192" s="337">
        <v>63.83559232529484</v>
      </c>
      <c r="F192" s="335">
        <v>1</v>
      </c>
      <c r="G192" s="338">
        <f>Tabela3521[[#This Row],[ICM]]*$C$2</f>
        <v>40</v>
      </c>
      <c r="H192" s="339">
        <v>145.189525</v>
      </c>
      <c r="I192" s="340">
        <v>223.36850000000001</v>
      </c>
      <c r="J192" s="341">
        <v>208.57142857142856</v>
      </c>
      <c r="K192" s="341">
        <v>0.8107282497810766</v>
      </c>
      <c r="L192" s="342">
        <f>Tabela3521[[#This Row],[ICM    ]]*$H$2</f>
        <v>12.160923746716149</v>
      </c>
      <c r="M192" s="340">
        <v>115.50240000000001</v>
      </c>
      <c r="N192" s="340">
        <v>177.696</v>
      </c>
      <c r="O192" s="341">
        <v>189.93710691823898</v>
      </c>
      <c r="P192" s="343">
        <v>1</v>
      </c>
      <c r="Q192" s="342">
        <f>Tabela3521[[#This Row],[ICM      ]]*$M$2</f>
        <v>15</v>
      </c>
      <c r="R192" s="344">
        <v>0</v>
      </c>
      <c r="S192" s="345">
        <v>0</v>
      </c>
      <c r="T192" s="344">
        <f t="shared" si="11"/>
        <v>0</v>
      </c>
      <c r="U192" s="346">
        <v>96.021220159151184</v>
      </c>
      <c r="V192" s="346">
        <v>1</v>
      </c>
      <c r="W192" s="346">
        <f t="shared" si="12"/>
        <v>15</v>
      </c>
      <c r="X192" s="347">
        <f t="shared" si="13"/>
        <v>100</v>
      </c>
      <c r="Y192" s="348">
        <f t="shared" si="14"/>
        <v>82.160923746716151</v>
      </c>
      <c r="Z192" s="348">
        <f t="shared" si="15"/>
        <v>0.82160923746716152</v>
      </c>
    </row>
    <row r="193" spans="1:26" s="349" customFormat="1" ht="18.75">
      <c r="A193" s="334">
        <v>241</v>
      </c>
      <c r="B193" s="370" t="s">
        <v>68</v>
      </c>
      <c r="C193" s="335">
        <v>45.285760000000003</v>
      </c>
      <c r="D193" s="336">
        <v>69.670400000000001</v>
      </c>
      <c r="E193" s="337">
        <v>64.900426742532005</v>
      </c>
      <c r="F193" s="335">
        <v>1</v>
      </c>
      <c r="G193" s="338">
        <f>Tabela3521[[#This Row],[ICM]]*$C$2</f>
        <v>40</v>
      </c>
      <c r="H193" s="339">
        <v>170.623245</v>
      </c>
      <c r="I193" s="340">
        <v>262.4973</v>
      </c>
      <c r="J193" s="341">
        <v>263.49206349206349</v>
      </c>
      <c r="K193" s="341">
        <v>1</v>
      </c>
      <c r="L193" s="342">
        <f>Tabela3521[[#This Row],[ICM    ]]*$H$2</f>
        <v>15</v>
      </c>
      <c r="M193" s="340">
        <v>157.85497000000001</v>
      </c>
      <c r="N193" s="340">
        <v>242.85380000000001</v>
      </c>
      <c r="O193" s="341">
        <v>208.06451612903226</v>
      </c>
      <c r="P193" s="343">
        <v>0.59070867362565171</v>
      </c>
      <c r="Q193" s="342">
        <f>Tabela3521[[#This Row],[ICM      ]]*$M$2</f>
        <v>8.8606301043847751</v>
      </c>
      <c r="R193" s="344">
        <v>0.49024586860137043</v>
      </c>
      <c r="S193" s="345">
        <v>0.5</v>
      </c>
      <c r="T193" s="344">
        <f t="shared" si="11"/>
        <v>7.5</v>
      </c>
      <c r="U193" s="346">
        <v>89.258312020460366</v>
      </c>
      <c r="V193" s="346">
        <v>0.9</v>
      </c>
      <c r="W193" s="346">
        <f t="shared" si="12"/>
        <v>13.5</v>
      </c>
      <c r="X193" s="347">
        <f t="shared" si="13"/>
        <v>100</v>
      </c>
      <c r="Y193" s="348">
        <f t="shared" si="14"/>
        <v>84.860630104384768</v>
      </c>
      <c r="Z193" s="348">
        <f t="shared" si="15"/>
        <v>0.84860630104384771</v>
      </c>
    </row>
    <row r="194" spans="1:26" s="349" customFormat="1" ht="18.75">
      <c r="A194" s="334">
        <v>242</v>
      </c>
      <c r="B194" s="370" t="s">
        <v>142</v>
      </c>
      <c r="C194" s="335">
        <v>42.515005000000002</v>
      </c>
      <c r="D194" s="336">
        <v>65.407700000000006</v>
      </c>
      <c r="E194" s="337">
        <v>69.392948018902217</v>
      </c>
      <c r="F194" s="335">
        <v>1</v>
      </c>
      <c r="G194" s="338">
        <f>Tabela3521[[#This Row],[ICM]]*$C$2</f>
        <v>40</v>
      </c>
      <c r="H194" s="339">
        <v>173.975685</v>
      </c>
      <c r="I194" s="340">
        <v>267.6549</v>
      </c>
      <c r="J194" s="341">
        <v>243.82022471910113</v>
      </c>
      <c r="K194" s="341">
        <v>0.74557135986996825</v>
      </c>
      <c r="L194" s="342">
        <f>Tabela3521[[#This Row],[ICM    ]]*$H$2</f>
        <v>11.183570398049524</v>
      </c>
      <c r="M194" s="340">
        <v>150.25536500000001</v>
      </c>
      <c r="N194" s="340">
        <v>231.16210000000001</v>
      </c>
      <c r="O194" s="341">
        <v>253.71428571428572</v>
      </c>
      <c r="P194" s="343">
        <v>1</v>
      </c>
      <c r="Q194" s="342">
        <f>Tabela3521[[#This Row],[ICM      ]]*$M$2</f>
        <v>15</v>
      </c>
      <c r="R194" s="344">
        <v>0.46359918200409</v>
      </c>
      <c r="S194" s="345">
        <v>0.5</v>
      </c>
      <c r="T194" s="344">
        <f t="shared" si="11"/>
        <v>7.5</v>
      </c>
      <c r="U194" s="346">
        <v>95.562130177514788</v>
      </c>
      <c r="V194" s="346">
        <v>1</v>
      </c>
      <c r="W194" s="346">
        <f t="shared" si="12"/>
        <v>15</v>
      </c>
      <c r="X194" s="347">
        <f t="shared" si="13"/>
        <v>100</v>
      </c>
      <c r="Y194" s="348">
        <f t="shared" si="14"/>
        <v>88.683570398049525</v>
      </c>
      <c r="Z194" s="348">
        <f t="shared" si="15"/>
        <v>0.88683570398049527</v>
      </c>
    </row>
    <row r="195" spans="1:26" s="349" customFormat="1" ht="18.75">
      <c r="A195" s="334">
        <v>243</v>
      </c>
      <c r="B195" s="370" t="s">
        <v>59</v>
      </c>
      <c r="C195" s="335">
        <v>48.866350000000004</v>
      </c>
      <c r="D195" s="336">
        <v>75.179000000000002</v>
      </c>
      <c r="E195" s="337">
        <v>60.05136986301369</v>
      </c>
      <c r="F195" s="335">
        <v>0.5</v>
      </c>
      <c r="G195" s="338">
        <f>Tabela3521[[#This Row],[ICM]]*$C$2</f>
        <v>20</v>
      </c>
      <c r="H195" s="339">
        <v>159.20151000000001</v>
      </c>
      <c r="I195" s="340">
        <v>244.9254</v>
      </c>
      <c r="J195" s="341">
        <v>233.33333333333337</v>
      </c>
      <c r="K195" s="341">
        <v>0.86477437425358761</v>
      </c>
      <c r="L195" s="342">
        <f>Tabela3521[[#This Row],[ICM    ]]*$H$2</f>
        <v>12.971615613803815</v>
      </c>
      <c r="M195" s="340">
        <v>149.49064000000001</v>
      </c>
      <c r="N195" s="340">
        <v>229.98560000000001</v>
      </c>
      <c r="O195" s="341">
        <v>220.00000000000003</v>
      </c>
      <c r="P195" s="343">
        <v>0.87594751273868598</v>
      </c>
      <c r="Q195" s="342">
        <f>Tabela3521[[#This Row],[ICM      ]]*$M$2</f>
        <v>13.13921269108029</v>
      </c>
      <c r="R195" s="344">
        <v>0.5</v>
      </c>
      <c r="S195" s="345">
        <v>0.6</v>
      </c>
      <c r="T195" s="344">
        <f t="shared" si="11"/>
        <v>9</v>
      </c>
      <c r="U195" s="346">
        <v>96.8</v>
      </c>
      <c r="V195" s="346">
        <v>1</v>
      </c>
      <c r="W195" s="346">
        <f t="shared" si="12"/>
        <v>15</v>
      </c>
      <c r="X195" s="347">
        <f t="shared" si="13"/>
        <v>100</v>
      </c>
      <c r="Y195" s="348">
        <f t="shared" si="14"/>
        <v>70.110828304884109</v>
      </c>
      <c r="Z195" s="348">
        <f t="shared" si="15"/>
        <v>0.7011082830488411</v>
      </c>
    </row>
    <row r="196" spans="1:26" s="349" customFormat="1" ht="18.75">
      <c r="A196" s="334">
        <v>244</v>
      </c>
      <c r="B196" s="370" t="s">
        <v>194</v>
      </c>
      <c r="C196" s="335">
        <v>48.427535000000006</v>
      </c>
      <c r="D196" s="336">
        <v>74.503900000000002</v>
      </c>
      <c r="E196" s="337">
        <v>75</v>
      </c>
      <c r="F196" s="335">
        <v>1</v>
      </c>
      <c r="G196" s="338">
        <f>Tabela3521[[#This Row],[ICM]]*$C$2</f>
        <v>40</v>
      </c>
      <c r="H196" s="339">
        <v>165.70326500000002</v>
      </c>
      <c r="I196" s="340">
        <v>254.9281</v>
      </c>
      <c r="J196" s="341">
        <v>263.20754716981133</v>
      </c>
      <c r="K196" s="341">
        <v>1</v>
      </c>
      <c r="L196" s="342">
        <f>Tabela3521[[#This Row],[ICM    ]]*$H$2</f>
        <v>15</v>
      </c>
      <c r="M196" s="340">
        <v>154.36154500000001</v>
      </c>
      <c r="N196" s="340">
        <v>237.47929999999999</v>
      </c>
      <c r="O196" s="341">
        <v>258.65384615384613</v>
      </c>
      <c r="P196" s="343">
        <v>1</v>
      </c>
      <c r="Q196" s="342">
        <f>Tabela3521[[#This Row],[ICM      ]]*$M$2</f>
        <v>15</v>
      </c>
      <c r="R196" s="344">
        <v>0.4212121212121212</v>
      </c>
      <c r="S196" s="345">
        <v>0.5</v>
      </c>
      <c r="T196" s="344">
        <f t="shared" ref="T196:T227" si="16">S196*$R$2</f>
        <v>7.5</v>
      </c>
      <c r="U196" s="346">
        <v>95.358649789029542</v>
      </c>
      <c r="V196" s="346">
        <v>1</v>
      </c>
      <c r="W196" s="346">
        <f t="shared" ref="W196:W227" si="17">V196*$U$2</f>
        <v>15</v>
      </c>
      <c r="X196" s="347">
        <f t="shared" ref="X196:X226" si="18">(IF(ISBLANK(E196),0,$C$2))+(IF(ISBLANK(J196),0,$H$2))+(IF(ISBLANK(O196),0,$M$2))+(IF(ISBLANK(R196),0,$R$2)+(IF(ISBLANK(U196),0,$U$2)))</f>
        <v>100</v>
      </c>
      <c r="Y196" s="348">
        <f t="shared" ref="Y196:Y227" si="19">SUM(G196,L196,Q196,T196,W196)</f>
        <v>92.5</v>
      </c>
      <c r="Z196" s="348">
        <f t="shared" ref="Z196:Z227" si="20">Y196/X196</f>
        <v>0.92500000000000004</v>
      </c>
    </row>
    <row r="197" spans="1:26" s="349" customFormat="1" ht="18.75">
      <c r="A197" s="334">
        <v>245</v>
      </c>
      <c r="B197" s="370" t="s">
        <v>48</v>
      </c>
      <c r="C197" s="335">
        <v>45.448845000000006</v>
      </c>
      <c r="D197" s="336">
        <v>69.921300000000002</v>
      </c>
      <c r="E197" s="337">
        <v>73.321825853471424</v>
      </c>
      <c r="F197" s="335">
        <v>1</v>
      </c>
      <c r="G197" s="338">
        <f>Tabela3521[[#This Row],[ICM]]*$C$2</f>
        <v>40</v>
      </c>
      <c r="H197" s="339">
        <v>176.15506999999999</v>
      </c>
      <c r="I197" s="340">
        <v>271.00779999999997</v>
      </c>
      <c r="J197" s="341">
        <v>254.16666666666669</v>
      </c>
      <c r="K197" s="341">
        <v>0.82244967189312002</v>
      </c>
      <c r="L197" s="342">
        <f>Tabela3521[[#This Row],[ICM    ]]*$H$2</f>
        <v>12.336745078396801</v>
      </c>
      <c r="M197" s="340">
        <v>156.24420499999999</v>
      </c>
      <c r="N197" s="340">
        <v>240.37569999999999</v>
      </c>
      <c r="O197" s="341">
        <v>260.28368794326241</v>
      </c>
      <c r="P197" s="343">
        <v>1</v>
      </c>
      <c r="Q197" s="342">
        <f>Tabela3521[[#This Row],[ICM      ]]*$M$2</f>
        <v>15</v>
      </c>
      <c r="R197" s="344">
        <v>0.5</v>
      </c>
      <c r="S197" s="345">
        <v>0.6</v>
      </c>
      <c r="T197" s="344">
        <f t="shared" si="16"/>
        <v>9</v>
      </c>
      <c r="U197" s="346">
        <v>79.028132992327372</v>
      </c>
      <c r="V197" s="346">
        <v>0.8</v>
      </c>
      <c r="W197" s="346">
        <f t="shared" si="17"/>
        <v>12</v>
      </c>
      <c r="X197" s="347">
        <f t="shared" si="18"/>
        <v>100</v>
      </c>
      <c r="Y197" s="348">
        <f t="shared" si="19"/>
        <v>88.336745078396802</v>
      </c>
      <c r="Z197" s="348">
        <f t="shared" si="20"/>
        <v>0.88336745078396806</v>
      </c>
    </row>
    <row r="198" spans="1:26" s="349" customFormat="1" ht="18.75">
      <c r="A198" s="334">
        <v>246</v>
      </c>
      <c r="B198" s="370" t="s">
        <v>150</v>
      </c>
      <c r="C198" s="335">
        <v>43.405635000000004</v>
      </c>
      <c r="D198" s="336">
        <v>66.777900000000002</v>
      </c>
      <c r="E198" s="337">
        <v>75.993589743589737</v>
      </c>
      <c r="F198" s="335">
        <v>1</v>
      </c>
      <c r="G198" s="338">
        <f>Tabela3521[[#This Row],[ICM]]*$C$2</f>
        <v>40</v>
      </c>
      <c r="H198" s="339">
        <v>126.68981000000001</v>
      </c>
      <c r="I198" s="340">
        <v>194.9074</v>
      </c>
      <c r="J198" s="341">
        <v>213.95348837209303</v>
      </c>
      <c r="K198" s="341">
        <v>1</v>
      </c>
      <c r="L198" s="342">
        <f>Tabela3521[[#This Row],[ICM    ]]*$H$2</f>
        <v>15</v>
      </c>
      <c r="M198" s="340">
        <v>127.63634</v>
      </c>
      <c r="N198" s="340">
        <v>196.36359999999999</v>
      </c>
      <c r="O198" s="341">
        <v>222.98850574712645</v>
      </c>
      <c r="P198" s="343">
        <v>1</v>
      </c>
      <c r="Q198" s="342">
        <f>Tabela3521[[#This Row],[ICM      ]]*$M$2</f>
        <v>15</v>
      </c>
      <c r="R198" s="344">
        <v>0.93827160493827166</v>
      </c>
      <c r="S198" s="345">
        <v>1</v>
      </c>
      <c r="T198" s="344">
        <f t="shared" si="16"/>
        <v>15</v>
      </c>
      <c r="U198" s="346">
        <v>91.715976331360949</v>
      </c>
      <c r="V198" s="346">
        <v>1</v>
      </c>
      <c r="W198" s="346">
        <f t="shared" si="17"/>
        <v>15</v>
      </c>
      <c r="X198" s="347">
        <f t="shared" si="18"/>
        <v>100</v>
      </c>
      <c r="Y198" s="348">
        <f t="shared" si="19"/>
        <v>100</v>
      </c>
      <c r="Z198" s="348">
        <f t="shared" si="20"/>
        <v>1</v>
      </c>
    </row>
    <row r="199" spans="1:26" s="349" customFormat="1" ht="18.75">
      <c r="A199" s="334">
        <v>247</v>
      </c>
      <c r="B199" s="370" t="s">
        <v>98</v>
      </c>
      <c r="C199" s="335">
        <v>45.470165000000001</v>
      </c>
      <c r="D199" s="336">
        <v>69.954099999999997</v>
      </c>
      <c r="E199" s="337">
        <v>68.927579577013461</v>
      </c>
      <c r="F199" s="335">
        <v>1</v>
      </c>
      <c r="G199" s="338">
        <f>Tabela3521[[#This Row],[ICM]]*$C$2</f>
        <v>40</v>
      </c>
      <c r="H199" s="339">
        <v>173.28642500000001</v>
      </c>
      <c r="I199" s="340">
        <v>266.59449999999998</v>
      </c>
      <c r="J199" s="341">
        <v>279.24528301886789</v>
      </c>
      <c r="K199" s="341">
        <v>1</v>
      </c>
      <c r="L199" s="342">
        <f>Tabela3521[[#This Row],[ICM    ]]*$H$2</f>
        <v>15</v>
      </c>
      <c r="M199" s="340">
        <v>158.59675000000001</v>
      </c>
      <c r="N199" s="340">
        <v>243.995</v>
      </c>
      <c r="O199" s="341">
        <v>273.07692307692309</v>
      </c>
      <c r="P199" s="343">
        <v>1</v>
      </c>
      <c r="Q199" s="342">
        <f>Tabela3521[[#This Row],[ICM      ]]*$M$2</f>
        <v>15</v>
      </c>
      <c r="R199" s="344">
        <v>0</v>
      </c>
      <c r="S199" s="345">
        <v>0</v>
      </c>
      <c r="T199" s="344">
        <f t="shared" si="16"/>
        <v>0</v>
      </c>
      <c r="U199" s="346">
        <v>93.82352941176471</v>
      </c>
      <c r="V199" s="346">
        <v>1</v>
      </c>
      <c r="W199" s="346">
        <f t="shared" si="17"/>
        <v>15</v>
      </c>
      <c r="X199" s="347">
        <f t="shared" si="18"/>
        <v>100</v>
      </c>
      <c r="Y199" s="348">
        <f t="shared" si="19"/>
        <v>85</v>
      </c>
      <c r="Z199" s="348">
        <f t="shared" si="20"/>
        <v>0.85</v>
      </c>
    </row>
    <row r="200" spans="1:26" s="349" customFormat="1" ht="18.75">
      <c r="A200" s="334">
        <v>248</v>
      </c>
      <c r="B200" s="370" t="s">
        <v>203</v>
      </c>
      <c r="C200" s="335">
        <v>45.275619999999996</v>
      </c>
      <c r="D200" s="336">
        <v>69.654799999999994</v>
      </c>
      <c r="E200" s="337">
        <v>53.179487179487175</v>
      </c>
      <c r="F200" s="335">
        <v>0.5</v>
      </c>
      <c r="G200" s="338">
        <f>Tabela3521[[#This Row],[ICM]]*$C$2</f>
        <v>20</v>
      </c>
      <c r="H200" s="339">
        <v>156.80210000000002</v>
      </c>
      <c r="I200" s="340">
        <v>241.23400000000001</v>
      </c>
      <c r="J200" s="341">
        <v>243.85964912280701</v>
      </c>
      <c r="K200" s="341">
        <v>1</v>
      </c>
      <c r="L200" s="342">
        <f>Tabela3521[[#This Row],[ICM    ]]*$H$2</f>
        <v>15</v>
      </c>
      <c r="M200" s="340">
        <v>167.900655</v>
      </c>
      <c r="N200" s="340">
        <v>258.30869999999999</v>
      </c>
      <c r="O200" s="341">
        <v>246.2962962962963</v>
      </c>
      <c r="P200" s="343">
        <v>0.86713125249303102</v>
      </c>
      <c r="Q200" s="342">
        <f>Tabela3521[[#This Row],[ICM      ]]*$M$2</f>
        <v>13.006968787395465</v>
      </c>
      <c r="R200" s="344">
        <v>0.5</v>
      </c>
      <c r="S200" s="345">
        <v>0.6</v>
      </c>
      <c r="T200" s="344">
        <f t="shared" si="16"/>
        <v>9</v>
      </c>
      <c r="U200" s="346">
        <v>97.101449275362313</v>
      </c>
      <c r="V200" s="346">
        <v>1</v>
      </c>
      <c r="W200" s="346">
        <f t="shared" si="17"/>
        <v>15</v>
      </c>
      <c r="X200" s="347">
        <f t="shared" si="18"/>
        <v>100</v>
      </c>
      <c r="Y200" s="348">
        <f t="shared" si="19"/>
        <v>72.006968787395465</v>
      </c>
      <c r="Z200" s="348">
        <f t="shared" si="20"/>
        <v>0.72006968787395464</v>
      </c>
    </row>
    <row r="201" spans="1:26" s="349" customFormat="1" ht="18.75">
      <c r="A201" s="334">
        <v>249</v>
      </c>
      <c r="B201" s="370" t="s">
        <v>26</v>
      </c>
      <c r="C201" s="335">
        <v>52.586690000000004</v>
      </c>
      <c r="D201" s="336">
        <v>80.902600000000007</v>
      </c>
      <c r="E201" s="337">
        <v>78.935669456066947</v>
      </c>
      <c r="F201" s="335">
        <v>0.8</v>
      </c>
      <c r="G201" s="338">
        <f>Tabela3521[[#This Row],[ICM]]*$C$2</f>
        <v>32</v>
      </c>
      <c r="H201" s="339">
        <v>156.78832</v>
      </c>
      <c r="I201" s="340">
        <v>241.21279999999999</v>
      </c>
      <c r="J201" s="341">
        <v>247.65100671140939</v>
      </c>
      <c r="K201" s="341">
        <v>1</v>
      </c>
      <c r="L201" s="342">
        <f>Tabela3521[[#This Row],[ICM    ]]*$H$2</f>
        <v>15</v>
      </c>
      <c r="M201" s="340">
        <v>132.13109</v>
      </c>
      <c r="N201" s="340">
        <v>203.27860000000001</v>
      </c>
      <c r="O201" s="341">
        <v>228.57142857142861</v>
      </c>
      <c r="P201" s="343">
        <v>1</v>
      </c>
      <c r="Q201" s="342">
        <f>Tabela3521[[#This Row],[ICM      ]]*$M$2</f>
        <v>15</v>
      </c>
      <c r="R201" s="344">
        <v>0.49987812309567337</v>
      </c>
      <c r="S201" s="345">
        <v>0.5</v>
      </c>
      <c r="T201" s="344">
        <f t="shared" si="16"/>
        <v>7.5</v>
      </c>
      <c r="U201" s="346">
        <v>85.820895522388057</v>
      </c>
      <c r="V201" s="346">
        <v>0.9</v>
      </c>
      <c r="W201" s="346">
        <f t="shared" si="17"/>
        <v>13.5</v>
      </c>
      <c r="X201" s="347">
        <f t="shared" si="18"/>
        <v>100</v>
      </c>
      <c r="Y201" s="348">
        <f t="shared" si="19"/>
        <v>83</v>
      </c>
      <c r="Z201" s="348">
        <f t="shared" si="20"/>
        <v>0.83</v>
      </c>
    </row>
    <row r="202" spans="1:26" s="349" customFormat="1" ht="18.75">
      <c r="A202" s="334">
        <v>252</v>
      </c>
      <c r="B202" s="370" t="s">
        <v>184</v>
      </c>
      <c r="C202" s="335">
        <v>45.507865000000002</v>
      </c>
      <c r="D202" s="336">
        <v>70.012100000000004</v>
      </c>
      <c r="E202" s="337">
        <v>61.016949152542367</v>
      </c>
      <c r="F202" s="335">
        <v>0.75</v>
      </c>
      <c r="G202" s="338">
        <f>Tabela3521[[#This Row],[ICM]]*$C$2</f>
        <v>30</v>
      </c>
      <c r="H202" s="339">
        <v>149.01939000000002</v>
      </c>
      <c r="I202" s="340">
        <v>229.26060000000001</v>
      </c>
      <c r="J202" s="341">
        <v>232.96703296703294</v>
      </c>
      <c r="K202" s="341">
        <v>1</v>
      </c>
      <c r="L202" s="342">
        <f>Tabela3521[[#This Row],[ICM    ]]*$H$2</f>
        <v>15</v>
      </c>
      <c r="M202" s="340">
        <v>144.34088500000001</v>
      </c>
      <c r="N202" s="340">
        <v>222.06290000000001</v>
      </c>
      <c r="O202" s="341">
        <v>276.92307692307696</v>
      </c>
      <c r="P202" s="343">
        <v>1</v>
      </c>
      <c r="Q202" s="342">
        <f>Tabela3521[[#This Row],[ICM      ]]*$M$2</f>
        <v>15</v>
      </c>
      <c r="R202" s="344">
        <v>0.5</v>
      </c>
      <c r="S202" s="345">
        <v>0.6</v>
      </c>
      <c r="T202" s="344">
        <f t="shared" si="16"/>
        <v>9</v>
      </c>
      <c r="U202" s="346">
        <v>84.459459459459467</v>
      </c>
      <c r="V202" s="346">
        <v>0.9</v>
      </c>
      <c r="W202" s="346">
        <f t="shared" si="17"/>
        <v>13.5</v>
      </c>
      <c r="X202" s="347">
        <f t="shared" si="18"/>
        <v>100</v>
      </c>
      <c r="Y202" s="348">
        <f t="shared" si="19"/>
        <v>82.5</v>
      </c>
      <c r="Z202" s="348">
        <f t="shared" si="20"/>
        <v>0.82499999999999996</v>
      </c>
    </row>
    <row r="203" spans="1:26" s="349" customFormat="1" ht="18.75">
      <c r="A203" s="334">
        <v>253</v>
      </c>
      <c r="B203" s="370" t="s">
        <v>90</v>
      </c>
      <c r="C203" s="335">
        <v>38.852255</v>
      </c>
      <c r="D203" s="336">
        <v>59.7727</v>
      </c>
      <c r="E203" s="337">
        <v>68.541666666666671</v>
      </c>
      <c r="F203" s="335">
        <v>1</v>
      </c>
      <c r="G203" s="338">
        <f>Tabela3521[[#This Row],[ICM]]*$C$2</f>
        <v>40</v>
      </c>
      <c r="H203" s="339">
        <v>173.732</v>
      </c>
      <c r="I203" s="340">
        <v>267.27999999999997</v>
      </c>
      <c r="J203" s="341">
        <v>285.82089552238807</v>
      </c>
      <c r="K203" s="341">
        <v>1</v>
      </c>
      <c r="L203" s="342">
        <f>Tabela3521[[#This Row],[ICM    ]]*$H$2</f>
        <v>15</v>
      </c>
      <c r="M203" s="340">
        <v>161.82581999999999</v>
      </c>
      <c r="N203" s="340">
        <v>248.96279999999999</v>
      </c>
      <c r="O203" s="341">
        <v>258.01526717557249</v>
      </c>
      <c r="P203" s="343">
        <v>1</v>
      </c>
      <c r="Q203" s="342">
        <f>Tabela3521[[#This Row],[ICM      ]]*$M$2</f>
        <v>15</v>
      </c>
      <c r="R203" s="344">
        <v>0</v>
      </c>
      <c r="S203" s="345">
        <v>0</v>
      </c>
      <c r="T203" s="344">
        <f t="shared" si="16"/>
        <v>0</v>
      </c>
      <c r="U203" s="346">
        <v>92.576419213973807</v>
      </c>
      <c r="V203" s="346">
        <v>1</v>
      </c>
      <c r="W203" s="346">
        <f t="shared" si="17"/>
        <v>15</v>
      </c>
      <c r="X203" s="347">
        <f t="shared" si="18"/>
        <v>100</v>
      </c>
      <c r="Y203" s="348">
        <f t="shared" si="19"/>
        <v>85</v>
      </c>
      <c r="Z203" s="348">
        <f t="shared" si="20"/>
        <v>0.85</v>
      </c>
    </row>
    <row r="204" spans="1:26" s="349" customFormat="1" ht="18.75">
      <c r="A204" s="334">
        <v>254</v>
      </c>
      <c r="B204" s="370" t="s">
        <v>40</v>
      </c>
      <c r="C204" s="335">
        <v>49.690550000000002</v>
      </c>
      <c r="D204" s="336">
        <v>76.447000000000003</v>
      </c>
      <c r="E204" s="337">
        <v>77.705826845954235</v>
      </c>
      <c r="F204" s="335">
        <v>1</v>
      </c>
      <c r="G204" s="338">
        <f>Tabela3521[[#This Row],[ICM]]*$C$2</f>
        <v>40</v>
      </c>
      <c r="H204" s="339">
        <v>161.60326000000001</v>
      </c>
      <c r="I204" s="340">
        <v>248.62039999999999</v>
      </c>
      <c r="J204" s="341">
        <v>223.66863905325442</v>
      </c>
      <c r="K204" s="341">
        <v>0.71325464216882362</v>
      </c>
      <c r="L204" s="342">
        <f>Tabela3521[[#This Row],[ICM    ]]*$H$2</f>
        <v>10.698819632532354</v>
      </c>
      <c r="M204" s="340">
        <v>135.64973500000002</v>
      </c>
      <c r="N204" s="340">
        <v>208.6919</v>
      </c>
      <c r="O204" s="341">
        <v>215.56886227544911</v>
      </c>
      <c r="P204" s="343">
        <v>1</v>
      </c>
      <c r="Q204" s="342">
        <f>Tabela3521[[#This Row],[ICM      ]]*$M$2</f>
        <v>15</v>
      </c>
      <c r="R204" s="344">
        <v>0.40034207525655646</v>
      </c>
      <c r="S204" s="345">
        <v>0.5</v>
      </c>
      <c r="T204" s="344">
        <f t="shared" si="16"/>
        <v>7.5</v>
      </c>
      <c r="U204" s="346">
        <v>89.253731343283576</v>
      </c>
      <c r="V204" s="346">
        <v>0.9</v>
      </c>
      <c r="W204" s="346">
        <f t="shared" si="17"/>
        <v>13.5</v>
      </c>
      <c r="X204" s="347">
        <f t="shared" si="18"/>
        <v>100</v>
      </c>
      <c r="Y204" s="348">
        <f t="shared" si="19"/>
        <v>86.698819632532349</v>
      </c>
      <c r="Z204" s="348">
        <f t="shared" si="20"/>
        <v>0.86698819632532353</v>
      </c>
    </row>
    <row r="205" spans="1:26" s="349" customFormat="1" ht="18.75">
      <c r="A205" s="334">
        <v>255</v>
      </c>
      <c r="B205" s="370" t="s">
        <v>37</v>
      </c>
      <c r="C205" s="335">
        <v>47.142810000000004</v>
      </c>
      <c r="D205" s="336">
        <v>72.5274</v>
      </c>
      <c r="E205" s="337">
        <v>58.5</v>
      </c>
      <c r="F205" s="335">
        <v>0.5</v>
      </c>
      <c r="G205" s="338">
        <f>Tabela3521[[#This Row],[ICM]]*$C$2</f>
        <v>20</v>
      </c>
      <c r="H205" s="339">
        <v>129.44288499999999</v>
      </c>
      <c r="I205" s="340">
        <v>199.1429</v>
      </c>
      <c r="J205" s="341">
        <v>216.09195402298852</v>
      </c>
      <c r="K205" s="341">
        <v>1</v>
      </c>
      <c r="L205" s="342">
        <f>Tabela3521[[#This Row],[ICM    ]]*$H$2</f>
        <v>15</v>
      </c>
      <c r="M205" s="340">
        <v>121.727255</v>
      </c>
      <c r="N205" s="340">
        <v>187.27269999999999</v>
      </c>
      <c r="O205" s="341">
        <v>209.30232558139534</v>
      </c>
      <c r="P205" s="343">
        <v>1</v>
      </c>
      <c r="Q205" s="342">
        <f>Tabela3521[[#This Row],[ICM      ]]*$M$2</f>
        <v>15</v>
      </c>
      <c r="R205" s="344">
        <v>0.5</v>
      </c>
      <c r="S205" s="345">
        <v>0.6</v>
      </c>
      <c r="T205" s="344">
        <f t="shared" si="16"/>
        <v>9</v>
      </c>
      <c r="U205" s="346">
        <v>95.783132530120483</v>
      </c>
      <c r="V205" s="346">
        <v>1</v>
      </c>
      <c r="W205" s="346">
        <f t="shared" si="17"/>
        <v>15</v>
      </c>
      <c r="X205" s="347">
        <f t="shared" si="18"/>
        <v>100</v>
      </c>
      <c r="Y205" s="348">
        <f t="shared" si="19"/>
        <v>74</v>
      </c>
      <c r="Z205" s="348">
        <f t="shared" si="20"/>
        <v>0.74</v>
      </c>
    </row>
    <row r="206" spans="1:26" s="349" customFormat="1" ht="18.75">
      <c r="A206" s="334">
        <v>256</v>
      </c>
      <c r="B206" s="370" t="s">
        <v>10</v>
      </c>
      <c r="C206" s="335">
        <v>51.968345000000006</v>
      </c>
      <c r="D206" s="336">
        <v>79.951300000000003</v>
      </c>
      <c r="E206" s="337">
        <v>83.512544802867382</v>
      </c>
      <c r="F206" s="335">
        <v>1</v>
      </c>
      <c r="G206" s="338">
        <f>Tabela3521[[#This Row],[ICM]]*$C$2</f>
        <v>40</v>
      </c>
      <c r="H206" s="339">
        <v>121.96899000000001</v>
      </c>
      <c r="I206" s="340">
        <v>187.6446</v>
      </c>
      <c r="J206" s="341">
        <v>179.31034482758622</v>
      </c>
      <c r="K206" s="341">
        <v>0.87309969146211541</v>
      </c>
      <c r="L206" s="342">
        <f>Tabela3521[[#This Row],[ICM    ]]*$H$2</f>
        <v>13.096495371931731</v>
      </c>
      <c r="M206" s="340">
        <v>120.18577999999999</v>
      </c>
      <c r="N206" s="340">
        <v>184.90119999999999</v>
      </c>
      <c r="O206" s="341">
        <v>191.85185185185185</v>
      </c>
      <c r="P206" s="343">
        <v>1</v>
      </c>
      <c r="Q206" s="342">
        <f>Tabela3521[[#This Row],[ICM      ]]*$M$2</f>
        <v>15</v>
      </c>
      <c r="R206" s="344">
        <v>0.5</v>
      </c>
      <c r="S206" s="345">
        <v>0.6</v>
      </c>
      <c r="T206" s="344">
        <f t="shared" si="16"/>
        <v>9</v>
      </c>
      <c r="U206" s="346">
        <v>94.820717131474112</v>
      </c>
      <c r="V206" s="346">
        <v>1</v>
      </c>
      <c r="W206" s="346">
        <f t="shared" si="17"/>
        <v>15</v>
      </c>
      <c r="X206" s="347">
        <f t="shared" si="18"/>
        <v>100</v>
      </c>
      <c r="Y206" s="348">
        <f t="shared" si="19"/>
        <v>92.096495371931724</v>
      </c>
      <c r="Z206" s="348">
        <f t="shared" si="20"/>
        <v>0.92096495371931719</v>
      </c>
    </row>
    <row r="207" spans="1:26" s="349" customFormat="1" ht="18.75">
      <c r="A207" s="334">
        <v>260</v>
      </c>
      <c r="B207" s="370" t="s">
        <v>101</v>
      </c>
      <c r="C207" s="335">
        <v>43.151485000000001</v>
      </c>
      <c r="D207" s="336">
        <v>66.386899999999997</v>
      </c>
      <c r="E207" s="337">
        <v>59.229114586361263</v>
      </c>
      <c r="F207" s="335">
        <v>0.75</v>
      </c>
      <c r="G207" s="338">
        <f>Tabela3521[[#This Row],[ICM]]*$C$2</f>
        <v>30</v>
      </c>
      <c r="H207" s="339">
        <v>165.83755500000001</v>
      </c>
      <c r="I207" s="340">
        <v>255.13470000000001</v>
      </c>
      <c r="J207" s="341">
        <v>247.77070063694271</v>
      </c>
      <c r="K207" s="341">
        <v>0.91753376479105464</v>
      </c>
      <c r="L207" s="342">
        <f>Tabela3521[[#This Row],[ICM    ]]*$H$2</f>
        <v>13.76300647186582</v>
      </c>
      <c r="M207" s="340">
        <v>139.45457500000001</v>
      </c>
      <c r="N207" s="340">
        <v>214.5455</v>
      </c>
      <c r="O207" s="341">
        <v>243.70860927152319</v>
      </c>
      <c r="P207" s="343">
        <v>1</v>
      </c>
      <c r="Q207" s="342">
        <f>Tabela3521[[#This Row],[ICM      ]]*$M$2</f>
        <v>15</v>
      </c>
      <c r="R207" s="344">
        <v>0.5</v>
      </c>
      <c r="S207" s="345">
        <v>0.6</v>
      </c>
      <c r="T207" s="344">
        <f t="shared" si="16"/>
        <v>9</v>
      </c>
      <c r="U207" s="346">
        <v>83.333333333333343</v>
      </c>
      <c r="V207" s="346">
        <v>0.9</v>
      </c>
      <c r="W207" s="346">
        <f t="shared" si="17"/>
        <v>13.5</v>
      </c>
      <c r="X207" s="347">
        <f t="shared" si="18"/>
        <v>100</v>
      </c>
      <c r="Y207" s="348">
        <f t="shared" si="19"/>
        <v>81.263006471865822</v>
      </c>
      <c r="Z207" s="348">
        <f t="shared" si="20"/>
        <v>0.81263006471865817</v>
      </c>
    </row>
    <row r="208" spans="1:26" s="349" customFormat="1" ht="18.75">
      <c r="A208" s="334">
        <v>261</v>
      </c>
      <c r="B208" s="370" t="s">
        <v>211</v>
      </c>
      <c r="C208" s="335">
        <v>41.713620000000006</v>
      </c>
      <c r="D208" s="336">
        <v>64.174800000000005</v>
      </c>
      <c r="E208" s="337">
        <v>64.303818857722206</v>
      </c>
      <c r="F208" s="335">
        <v>1</v>
      </c>
      <c r="G208" s="338">
        <f>Tabela3521[[#This Row],[ICM]]*$C$2</f>
        <v>40</v>
      </c>
      <c r="H208" s="339">
        <v>168.99811500000001</v>
      </c>
      <c r="I208" s="340">
        <v>259.99709999999999</v>
      </c>
      <c r="J208" s="341">
        <v>259.84251968503941</v>
      </c>
      <c r="K208" s="341">
        <v>0.99830129627313335</v>
      </c>
      <c r="L208" s="342">
        <f>Tabela3521[[#This Row],[ICM    ]]*$H$2</f>
        <v>14.974519444097</v>
      </c>
      <c r="M208" s="340">
        <v>143.61854000000002</v>
      </c>
      <c r="N208" s="340">
        <v>220.95160000000001</v>
      </c>
      <c r="O208" s="341">
        <v>244.09448818897638</v>
      </c>
      <c r="P208" s="343">
        <v>1</v>
      </c>
      <c r="Q208" s="342">
        <f>Tabela3521[[#This Row],[ICM      ]]*$M$2</f>
        <v>15</v>
      </c>
      <c r="R208" s="344">
        <v>0</v>
      </c>
      <c r="S208" s="345">
        <v>0</v>
      </c>
      <c r="T208" s="344">
        <f t="shared" si="16"/>
        <v>0</v>
      </c>
      <c r="U208" s="346">
        <v>96.013289036544847</v>
      </c>
      <c r="V208" s="346">
        <v>1</v>
      </c>
      <c r="W208" s="346">
        <f t="shared" si="17"/>
        <v>15</v>
      </c>
      <c r="X208" s="347">
        <f t="shared" si="18"/>
        <v>100</v>
      </c>
      <c r="Y208" s="348">
        <f t="shared" si="19"/>
        <v>84.974519444096998</v>
      </c>
      <c r="Z208" s="348">
        <f t="shared" si="20"/>
        <v>0.84974519444096996</v>
      </c>
    </row>
    <row r="209" spans="1:26" s="349" customFormat="1" ht="18.75">
      <c r="A209" s="334">
        <v>262</v>
      </c>
      <c r="B209" s="370" t="s">
        <v>22</v>
      </c>
      <c r="C209" s="335">
        <v>57.591625000000008</v>
      </c>
      <c r="D209" s="336">
        <v>88.602500000000006</v>
      </c>
      <c r="E209" s="337">
        <v>79.500679940025805</v>
      </c>
      <c r="F209" s="335">
        <v>0.8</v>
      </c>
      <c r="G209" s="338">
        <f>Tabela3521[[#This Row],[ICM]]*$C$2</f>
        <v>32</v>
      </c>
      <c r="H209" s="339">
        <v>153.25362000000001</v>
      </c>
      <c r="I209" s="340">
        <v>235.7748</v>
      </c>
      <c r="J209" s="341">
        <v>238.46153846153845</v>
      </c>
      <c r="K209" s="341">
        <v>1</v>
      </c>
      <c r="L209" s="342">
        <f>Tabela3521[[#This Row],[ICM    ]]*$H$2</f>
        <v>15</v>
      </c>
      <c r="M209" s="340">
        <v>142.04801</v>
      </c>
      <c r="N209" s="340">
        <v>218.53540000000001</v>
      </c>
      <c r="O209" s="341">
        <v>232.71604938271605</v>
      </c>
      <c r="P209" s="343">
        <v>1</v>
      </c>
      <c r="Q209" s="342">
        <f>Tabela3521[[#This Row],[ICM      ]]*$M$2</f>
        <v>15</v>
      </c>
      <c r="R209" s="344">
        <v>0.5</v>
      </c>
      <c r="S209" s="345">
        <v>0.6</v>
      </c>
      <c r="T209" s="344">
        <f t="shared" si="16"/>
        <v>9</v>
      </c>
      <c r="U209" s="346">
        <v>92.857142857142861</v>
      </c>
      <c r="V209" s="346">
        <v>1</v>
      </c>
      <c r="W209" s="346">
        <f t="shared" si="17"/>
        <v>15</v>
      </c>
      <c r="X209" s="347">
        <f t="shared" si="18"/>
        <v>100</v>
      </c>
      <c r="Y209" s="348">
        <f t="shared" si="19"/>
        <v>86</v>
      </c>
      <c r="Z209" s="348">
        <f t="shared" si="20"/>
        <v>0.86</v>
      </c>
    </row>
    <row r="210" spans="1:26" s="349" customFormat="1" ht="18.75">
      <c r="A210" s="334">
        <v>263</v>
      </c>
      <c r="B210" s="370" t="s">
        <v>36</v>
      </c>
      <c r="C210" s="335">
        <v>49.863255000000002</v>
      </c>
      <c r="D210" s="336">
        <v>76.712699999999998</v>
      </c>
      <c r="E210" s="337">
        <v>74.166666666666671</v>
      </c>
      <c r="F210" s="335">
        <v>0.9</v>
      </c>
      <c r="G210" s="338">
        <f>Tabela3521[[#This Row],[ICM]]*$C$2</f>
        <v>36</v>
      </c>
      <c r="H210" s="339">
        <v>137.17847</v>
      </c>
      <c r="I210" s="340">
        <v>211.0438</v>
      </c>
      <c r="J210" s="341">
        <v>239.28571428571428</v>
      </c>
      <c r="K210" s="341">
        <v>1</v>
      </c>
      <c r="L210" s="342">
        <f>Tabela3521[[#This Row],[ICM    ]]*$H$2</f>
        <v>15</v>
      </c>
      <c r="M210" s="340">
        <v>113.45457500000001</v>
      </c>
      <c r="N210" s="340">
        <v>174.5455</v>
      </c>
      <c r="O210" s="341">
        <v>211.11111111111109</v>
      </c>
      <c r="P210" s="343">
        <v>1</v>
      </c>
      <c r="Q210" s="342">
        <f>Tabela3521[[#This Row],[ICM      ]]*$M$2</f>
        <v>15</v>
      </c>
      <c r="R210" s="344">
        <v>0.36926406926406929</v>
      </c>
      <c r="S210" s="345">
        <v>0</v>
      </c>
      <c r="T210" s="344">
        <f t="shared" si="16"/>
        <v>0</v>
      </c>
      <c r="U210" s="346">
        <v>90.833333333333329</v>
      </c>
      <c r="V210" s="346">
        <v>1</v>
      </c>
      <c r="W210" s="346">
        <f t="shared" si="17"/>
        <v>15</v>
      </c>
      <c r="X210" s="347">
        <f t="shared" si="18"/>
        <v>100</v>
      </c>
      <c r="Y210" s="348">
        <f t="shared" si="19"/>
        <v>81</v>
      </c>
      <c r="Z210" s="348">
        <f t="shared" si="20"/>
        <v>0.81</v>
      </c>
    </row>
    <row r="211" spans="1:26" s="349" customFormat="1" ht="18.75">
      <c r="A211" s="334">
        <v>264</v>
      </c>
      <c r="B211" s="370" t="s">
        <v>215</v>
      </c>
      <c r="C211" s="335">
        <v>38.281685000000003</v>
      </c>
      <c r="D211" s="336">
        <v>58.8949</v>
      </c>
      <c r="E211" s="337">
        <v>72.547423953305639</v>
      </c>
      <c r="F211" s="335">
        <v>1</v>
      </c>
      <c r="G211" s="338">
        <f>Tabela3521[[#This Row],[ICM]]*$C$2</f>
        <v>40</v>
      </c>
      <c r="H211" s="339">
        <v>158.37445</v>
      </c>
      <c r="I211" s="340">
        <v>243.65299999999999</v>
      </c>
      <c r="J211" s="341">
        <v>246.15384615384619</v>
      </c>
      <c r="K211" s="341">
        <v>1</v>
      </c>
      <c r="L211" s="342">
        <f>Tabela3521[[#This Row],[ICM    ]]*$H$2</f>
        <v>15</v>
      </c>
      <c r="M211" s="340">
        <v>165.27992</v>
      </c>
      <c r="N211" s="340">
        <v>254.27680000000001</v>
      </c>
      <c r="O211" s="341">
        <v>264.61538461538464</v>
      </c>
      <c r="P211" s="343">
        <v>1</v>
      </c>
      <c r="Q211" s="342">
        <f>Tabela3521[[#This Row],[ICM      ]]*$M$2</f>
        <v>15</v>
      </c>
      <c r="R211" s="344">
        <v>0.5</v>
      </c>
      <c r="S211" s="345">
        <v>0.6</v>
      </c>
      <c r="T211" s="344">
        <f t="shared" si="16"/>
        <v>9</v>
      </c>
      <c r="U211" s="346">
        <v>92.1875</v>
      </c>
      <c r="V211" s="346">
        <v>1</v>
      </c>
      <c r="W211" s="346">
        <f t="shared" si="17"/>
        <v>15</v>
      </c>
      <c r="X211" s="347">
        <f t="shared" si="18"/>
        <v>100</v>
      </c>
      <c r="Y211" s="348">
        <f t="shared" si="19"/>
        <v>94</v>
      </c>
      <c r="Z211" s="348">
        <f t="shared" si="20"/>
        <v>0.94</v>
      </c>
    </row>
    <row r="212" spans="1:26" s="349" customFormat="1" ht="18.75">
      <c r="A212" s="334">
        <v>266</v>
      </c>
      <c r="B212" s="370" t="s">
        <v>199</v>
      </c>
      <c r="C212" s="335">
        <v>39.260325000000002</v>
      </c>
      <c r="D212" s="336">
        <v>60.400500000000001</v>
      </c>
      <c r="E212" s="337">
        <v>62.3827392120075</v>
      </c>
      <c r="F212" s="335">
        <v>1</v>
      </c>
      <c r="G212" s="338">
        <f>Tabela3521[[#This Row],[ICM]]*$C$2</f>
        <v>40</v>
      </c>
      <c r="H212" s="339">
        <v>173.47921500000001</v>
      </c>
      <c r="I212" s="340">
        <v>266.89109999999999</v>
      </c>
      <c r="J212" s="341">
        <v>249.45054945054943</v>
      </c>
      <c r="K212" s="341">
        <v>0.8132940947562447</v>
      </c>
      <c r="L212" s="342">
        <f>Tabela3521[[#This Row],[ICM    ]]*$H$2</f>
        <v>12.199411421343671</v>
      </c>
      <c r="M212" s="340">
        <v>146.67679000000001</v>
      </c>
      <c r="N212" s="340">
        <v>225.6566</v>
      </c>
      <c r="O212" s="341">
        <v>250.57471264367817</v>
      </c>
      <c r="P212" s="343">
        <v>1</v>
      </c>
      <c r="Q212" s="342">
        <f>Tabela3521[[#This Row],[ICM      ]]*$M$2</f>
        <v>15</v>
      </c>
      <c r="R212" s="344">
        <v>0.5</v>
      </c>
      <c r="S212" s="345">
        <v>0.6</v>
      </c>
      <c r="T212" s="344">
        <f t="shared" si="16"/>
        <v>9</v>
      </c>
      <c r="U212" s="346">
        <v>86.016949152542381</v>
      </c>
      <c r="V212" s="346">
        <v>0.9</v>
      </c>
      <c r="W212" s="346">
        <f t="shared" si="17"/>
        <v>13.5</v>
      </c>
      <c r="X212" s="347">
        <f t="shared" si="18"/>
        <v>100</v>
      </c>
      <c r="Y212" s="348">
        <f t="shared" si="19"/>
        <v>89.699411421343669</v>
      </c>
      <c r="Z212" s="348">
        <f t="shared" si="20"/>
        <v>0.89699411421343667</v>
      </c>
    </row>
    <row r="213" spans="1:26" s="349" customFormat="1" ht="18.75">
      <c r="A213" s="334">
        <v>267</v>
      </c>
      <c r="B213" s="370" t="s">
        <v>216</v>
      </c>
      <c r="C213" s="335">
        <v>30.399004999999999</v>
      </c>
      <c r="D213" s="336">
        <v>46.767699999999998</v>
      </c>
      <c r="E213" s="337">
        <v>52.982456140350877</v>
      </c>
      <c r="F213" s="335">
        <v>1</v>
      </c>
      <c r="G213" s="338">
        <f>Tabela3521[[#This Row],[ICM]]*$C$2</f>
        <v>40</v>
      </c>
      <c r="H213" s="339"/>
      <c r="I213" s="340"/>
      <c r="J213" s="341"/>
      <c r="K213" s="341"/>
      <c r="L213" s="342"/>
      <c r="M213" s="340"/>
      <c r="N213" s="340"/>
      <c r="O213" s="341"/>
      <c r="P213" s="342"/>
      <c r="Q213" s="342"/>
      <c r="R213" s="344">
        <v>0.5</v>
      </c>
      <c r="S213" s="345">
        <v>0.6</v>
      </c>
      <c r="T213" s="344">
        <f t="shared" si="16"/>
        <v>9</v>
      </c>
      <c r="U213" s="346">
        <v>65</v>
      </c>
      <c r="V213" s="346">
        <v>0.7</v>
      </c>
      <c r="W213" s="346">
        <f t="shared" si="17"/>
        <v>10.5</v>
      </c>
      <c r="X213" s="347">
        <f t="shared" si="18"/>
        <v>70</v>
      </c>
      <c r="Y213" s="348">
        <f t="shared" si="19"/>
        <v>59.5</v>
      </c>
      <c r="Z213" s="348">
        <f t="shared" si="20"/>
        <v>0.85</v>
      </c>
    </row>
    <row r="214" spans="1:26" s="349" customFormat="1" ht="18.75">
      <c r="A214" s="334">
        <v>268</v>
      </c>
      <c r="B214" s="370" t="s">
        <v>120</v>
      </c>
      <c r="C214" s="335">
        <v>47.286850000000001</v>
      </c>
      <c r="D214" s="336">
        <v>72.748999999999995</v>
      </c>
      <c r="E214" s="337">
        <v>69.482758620689651</v>
      </c>
      <c r="F214" s="335">
        <v>1</v>
      </c>
      <c r="G214" s="338">
        <f>Tabela3521[[#This Row],[ICM]]*$C$2</f>
        <v>40</v>
      </c>
      <c r="H214" s="339">
        <v>152.95910499999999</v>
      </c>
      <c r="I214" s="340">
        <v>235.32169999999999</v>
      </c>
      <c r="J214" s="341">
        <v>233.33333333333331</v>
      </c>
      <c r="K214" s="341">
        <v>0.97585837762073091</v>
      </c>
      <c r="L214" s="342">
        <f>Tabela3521[[#This Row],[ICM    ]]*$H$2</f>
        <v>14.637875664310963</v>
      </c>
      <c r="M214" s="340">
        <v>152.51888</v>
      </c>
      <c r="N214" s="340">
        <v>190.64859999999999</v>
      </c>
      <c r="O214" s="341">
        <v>220.33898305084745</v>
      </c>
      <c r="P214" s="343">
        <v>1</v>
      </c>
      <c r="Q214" s="342">
        <f>Tabela3521[[#This Row],[ICM      ]]*$M$2</f>
        <v>15</v>
      </c>
      <c r="R214" s="344">
        <v>0</v>
      </c>
      <c r="S214" s="345">
        <v>0</v>
      </c>
      <c r="T214" s="344">
        <f t="shared" si="16"/>
        <v>0</v>
      </c>
      <c r="U214" s="346">
        <v>89.406779661016941</v>
      </c>
      <c r="V214" s="346">
        <v>0.9</v>
      </c>
      <c r="W214" s="346">
        <f t="shared" si="17"/>
        <v>13.5</v>
      </c>
      <c r="X214" s="347">
        <f t="shared" si="18"/>
        <v>100</v>
      </c>
      <c r="Y214" s="348">
        <f t="shared" si="19"/>
        <v>83.137875664310968</v>
      </c>
      <c r="Z214" s="348">
        <f t="shared" si="20"/>
        <v>0.83137875664310967</v>
      </c>
    </row>
    <row r="215" spans="1:26" s="349" customFormat="1" ht="18.75">
      <c r="A215" s="334">
        <v>271</v>
      </c>
      <c r="B215" s="370" t="s">
        <v>198</v>
      </c>
      <c r="C215" s="335">
        <v>43.530305000000006</v>
      </c>
      <c r="D215" s="336">
        <v>66.969700000000003</v>
      </c>
      <c r="E215" s="337">
        <v>53.5</v>
      </c>
      <c r="F215" s="335">
        <v>0.5</v>
      </c>
      <c r="G215" s="338">
        <f>Tabela3521[[#This Row],[ICM]]*$C$2</f>
        <v>20</v>
      </c>
      <c r="H215" s="339">
        <v>164.009885</v>
      </c>
      <c r="I215" s="340">
        <v>252.3229</v>
      </c>
      <c r="J215" s="341">
        <v>247.82608695652172</v>
      </c>
      <c r="K215" s="341">
        <v>0.94908097018906801</v>
      </c>
      <c r="L215" s="342">
        <f>Tabela3521[[#This Row],[ICM    ]]*$H$2</f>
        <v>14.236214552836021</v>
      </c>
      <c r="M215" s="340">
        <v>198.10720000000001</v>
      </c>
      <c r="N215" s="340">
        <v>247.63399999999999</v>
      </c>
      <c r="O215" s="341">
        <v>249.25373134328356</v>
      </c>
      <c r="P215" s="343">
        <v>1</v>
      </c>
      <c r="Q215" s="342">
        <f>Tabela3521[[#This Row],[ICM      ]]*$M$2</f>
        <v>15</v>
      </c>
      <c r="R215" s="344">
        <v>0</v>
      </c>
      <c r="S215" s="345">
        <v>0</v>
      </c>
      <c r="T215" s="344">
        <f t="shared" si="16"/>
        <v>0</v>
      </c>
      <c r="U215" s="346">
        <v>95.652173913043484</v>
      </c>
      <c r="V215" s="346">
        <v>1</v>
      </c>
      <c r="W215" s="346">
        <f t="shared" si="17"/>
        <v>15</v>
      </c>
      <c r="X215" s="347">
        <f t="shared" si="18"/>
        <v>100</v>
      </c>
      <c r="Y215" s="348">
        <f t="shared" si="19"/>
        <v>64.236214552836017</v>
      </c>
      <c r="Z215" s="348">
        <f t="shared" si="20"/>
        <v>0.64236214552836013</v>
      </c>
    </row>
    <row r="216" spans="1:26" s="349" customFormat="1" ht="18.75">
      <c r="A216" s="334">
        <v>273</v>
      </c>
      <c r="B216" s="370" t="s">
        <v>82</v>
      </c>
      <c r="C216" s="335">
        <v>46.222799999999999</v>
      </c>
      <c r="D216" s="336">
        <v>71.111999999999995</v>
      </c>
      <c r="E216" s="337">
        <v>63.148148148148152</v>
      </c>
      <c r="F216" s="335">
        <v>0.75</v>
      </c>
      <c r="G216" s="338">
        <f>Tabela3521[[#This Row],[ICM]]*$C$2</f>
        <v>30</v>
      </c>
      <c r="H216" s="339">
        <v>181.46550500000001</v>
      </c>
      <c r="I216" s="340">
        <v>279.17770000000002</v>
      </c>
      <c r="J216" s="341">
        <v>250</v>
      </c>
      <c r="K216" s="341">
        <v>0.70139141792894932</v>
      </c>
      <c r="L216" s="342">
        <f>Tabela3521[[#This Row],[ICM    ]]*$H$2</f>
        <v>10.52087126893424</v>
      </c>
      <c r="M216" s="340">
        <v>189.88200000000001</v>
      </c>
      <c r="N216" s="340">
        <v>237.35249999999999</v>
      </c>
      <c r="O216" s="341">
        <v>287.5</v>
      </c>
      <c r="P216" s="343">
        <v>1</v>
      </c>
      <c r="Q216" s="342">
        <f>Tabela3521[[#This Row],[ICM      ]]*$M$2</f>
        <v>15</v>
      </c>
      <c r="R216" s="344">
        <v>0.5</v>
      </c>
      <c r="S216" s="345">
        <v>0.6</v>
      </c>
      <c r="T216" s="344">
        <f t="shared" si="16"/>
        <v>9</v>
      </c>
      <c r="U216" s="346">
        <v>89.247311827956992</v>
      </c>
      <c r="V216" s="346">
        <v>0.9</v>
      </c>
      <c r="W216" s="346">
        <f t="shared" si="17"/>
        <v>13.5</v>
      </c>
      <c r="X216" s="347">
        <f t="shared" si="18"/>
        <v>100</v>
      </c>
      <c r="Y216" s="348">
        <f t="shared" si="19"/>
        <v>78.020871268934243</v>
      </c>
      <c r="Z216" s="348">
        <f t="shared" si="20"/>
        <v>0.78020871268934244</v>
      </c>
    </row>
    <row r="217" spans="1:26" s="349" customFormat="1" ht="18.75">
      <c r="A217" s="334">
        <v>274</v>
      </c>
      <c r="B217" s="370" t="s">
        <v>75</v>
      </c>
      <c r="C217" s="335">
        <v>46.816510000000008</v>
      </c>
      <c r="D217" s="336">
        <v>72.025400000000005</v>
      </c>
      <c r="E217" s="337">
        <v>76.933838912133893</v>
      </c>
      <c r="F217" s="335">
        <v>1</v>
      </c>
      <c r="G217" s="338">
        <f>Tabela3521[[#This Row],[ICM]]*$C$2</f>
        <v>40</v>
      </c>
      <c r="H217" s="339">
        <v>170.99335500000004</v>
      </c>
      <c r="I217" s="340">
        <v>263.06670000000003</v>
      </c>
      <c r="J217" s="341">
        <v>264.47368421052636</v>
      </c>
      <c r="K217" s="341">
        <v>1</v>
      </c>
      <c r="L217" s="342">
        <f>Tabela3521[[#This Row],[ICM    ]]*$H$2</f>
        <v>15</v>
      </c>
      <c r="M217" s="340">
        <v>199.42952000000002</v>
      </c>
      <c r="N217" s="340">
        <v>249.2869</v>
      </c>
      <c r="O217" s="341">
        <v>252.05479452054794</v>
      </c>
      <c r="P217" s="343">
        <v>1</v>
      </c>
      <c r="Q217" s="342">
        <f>Tabela3521[[#This Row],[ICM      ]]*$M$2</f>
        <v>15</v>
      </c>
      <c r="R217" s="344">
        <v>0.85000194535876306</v>
      </c>
      <c r="S217" s="345">
        <v>1</v>
      </c>
      <c r="T217" s="344">
        <f t="shared" si="16"/>
        <v>15</v>
      </c>
      <c r="U217" s="346">
        <v>69.805194805194802</v>
      </c>
      <c r="V217" s="346">
        <v>0.7</v>
      </c>
      <c r="W217" s="346">
        <f t="shared" si="17"/>
        <v>10.5</v>
      </c>
      <c r="X217" s="347">
        <f t="shared" si="18"/>
        <v>100</v>
      </c>
      <c r="Y217" s="348">
        <f t="shared" si="19"/>
        <v>95.5</v>
      </c>
      <c r="Z217" s="348">
        <f t="shared" si="20"/>
        <v>0.95499999999999996</v>
      </c>
    </row>
    <row r="218" spans="1:26" s="349" customFormat="1" ht="18.75">
      <c r="A218" s="334">
        <v>277</v>
      </c>
      <c r="B218" s="370" t="s">
        <v>122</v>
      </c>
      <c r="C218" s="335">
        <v>41.659085000000005</v>
      </c>
      <c r="D218" s="336">
        <v>64.090900000000005</v>
      </c>
      <c r="E218" s="337">
        <v>67.708333333333343</v>
      </c>
      <c r="F218" s="335">
        <v>1</v>
      </c>
      <c r="G218" s="338">
        <f>Tabela3521[[#This Row],[ICM]]*$C$2</f>
        <v>40</v>
      </c>
      <c r="H218" s="339">
        <v>156.30244500000001</v>
      </c>
      <c r="I218" s="340">
        <v>240.46530000000001</v>
      </c>
      <c r="J218" s="341">
        <v>241.93548387096774</v>
      </c>
      <c r="K218" s="341">
        <v>1</v>
      </c>
      <c r="L218" s="342">
        <f>Tabela3521[[#This Row],[ICM    ]]*$H$2</f>
        <v>15</v>
      </c>
      <c r="M218" s="340">
        <v>192.46280000000002</v>
      </c>
      <c r="N218" s="340">
        <v>240.57849999999999</v>
      </c>
      <c r="O218" s="341">
        <v>233.89830508474574</v>
      </c>
      <c r="P218" s="343">
        <v>0.92066510022117232</v>
      </c>
      <c r="Q218" s="342">
        <f>Tabela3521[[#This Row],[ICM      ]]*$M$2</f>
        <v>13.809976503317586</v>
      </c>
      <c r="R218" s="344">
        <v>0.5</v>
      </c>
      <c r="S218" s="345">
        <v>0.6</v>
      </c>
      <c r="T218" s="344">
        <f t="shared" si="16"/>
        <v>9</v>
      </c>
      <c r="U218" s="346">
        <v>98.4</v>
      </c>
      <c r="V218" s="346">
        <v>1</v>
      </c>
      <c r="W218" s="346">
        <f t="shared" si="17"/>
        <v>15</v>
      </c>
      <c r="X218" s="347">
        <f t="shared" si="18"/>
        <v>100</v>
      </c>
      <c r="Y218" s="348">
        <f t="shared" si="19"/>
        <v>92.809976503317586</v>
      </c>
      <c r="Z218" s="348">
        <f t="shared" si="20"/>
        <v>0.92809976503317582</v>
      </c>
    </row>
    <row r="219" spans="1:26" s="349" customFormat="1" ht="18.75">
      <c r="A219" s="334">
        <v>279</v>
      </c>
      <c r="B219" s="370" t="s">
        <v>221</v>
      </c>
      <c r="C219" s="335">
        <v>42.000465000000005</v>
      </c>
      <c r="D219" s="336">
        <v>64.616100000000003</v>
      </c>
      <c r="E219" s="337">
        <v>62.27106227106227</v>
      </c>
      <c r="F219" s="335">
        <v>1</v>
      </c>
      <c r="G219" s="338">
        <f>Tabela3521[[#This Row],[ICM]]*$C$2</f>
        <v>40</v>
      </c>
      <c r="H219" s="339">
        <v>164.93958000000001</v>
      </c>
      <c r="I219" s="340">
        <v>253.75319999999999</v>
      </c>
      <c r="J219" s="341">
        <v>236.58536585365857</v>
      </c>
      <c r="K219" s="341">
        <v>0.80669818270732097</v>
      </c>
      <c r="L219" s="342">
        <f>Tabela3521[[#This Row],[ICM    ]]*$H$2</f>
        <v>12.100472740609815</v>
      </c>
      <c r="M219" s="340">
        <v>178.62392</v>
      </c>
      <c r="N219" s="340">
        <v>223.2799</v>
      </c>
      <c r="O219" s="341">
        <v>232.92682926829269</v>
      </c>
      <c r="P219" s="343">
        <v>1</v>
      </c>
      <c r="Q219" s="342">
        <f>Tabela3521[[#This Row],[ICM      ]]*$M$2</f>
        <v>15</v>
      </c>
      <c r="R219" s="344">
        <v>0.5</v>
      </c>
      <c r="S219" s="345">
        <v>0.6</v>
      </c>
      <c r="T219" s="344">
        <f t="shared" si="16"/>
        <v>9</v>
      </c>
      <c r="U219" s="346">
        <v>86.754966887417211</v>
      </c>
      <c r="V219" s="346">
        <v>0.9</v>
      </c>
      <c r="W219" s="346">
        <f t="shared" si="17"/>
        <v>13.5</v>
      </c>
      <c r="X219" s="347">
        <f t="shared" si="18"/>
        <v>100</v>
      </c>
      <c r="Y219" s="348">
        <f t="shared" si="19"/>
        <v>89.600472740609817</v>
      </c>
      <c r="Z219" s="348">
        <f t="shared" si="20"/>
        <v>0.89600472740609816</v>
      </c>
    </row>
    <row r="220" spans="1:26" s="349" customFormat="1" ht="18.75">
      <c r="A220" s="334">
        <v>281</v>
      </c>
      <c r="B220" s="370" t="s">
        <v>12</v>
      </c>
      <c r="C220" s="335">
        <v>57.403710000000004</v>
      </c>
      <c r="D220" s="336">
        <v>88.313400000000001</v>
      </c>
      <c r="E220" s="337">
        <v>91.428571428571431</v>
      </c>
      <c r="F220" s="335">
        <v>1</v>
      </c>
      <c r="G220" s="338">
        <f>Tabela3521[[#This Row],[ICM]]*$C$2</f>
        <v>40</v>
      </c>
      <c r="H220" s="339">
        <v>142.20114999999998</v>
      </c>
      <c r="I220" s="340">
        <v>218.77099999999999</v>
      </c>
      <c r="J220" s="341">
        <v>203.38983050847457</v>
      </c>
      <c r="K220" s="341">
        <v>0.79912237660743213</v>
      </c>
      <c r="L220" s="342">
        <f>Tabela3521[[#This Row],[ICM    ]]*$H$2</f>
        <v>11.986835649111482</v>
      </c>
      <c r="M220" s="340">
        <v>166.18184000000002</v>
      </c>
      <c r="N220" s="340">
        <v>207.72730000000001</v>
      </c>
      <c r="O220" s="341">
        <v>187.27272727272728</v>
      </c>
      <c r="P220" s="343">
        <v>0.71866174372055869</v>
      </c>
      <c r="Q220" s="342">
        <f>Tabela3521[[#This Row],[ICM      ]]*$M$2</f>
        <v>10.779926155808381</v>
      </c>
      <c r="R220" s="344">
        <v>0.5</v>
      </c>
      <c r="S220" s="345">
        <v>0.6</v>
      </c>
      <c r="T220" s="344">
        <f t="shared" si="16"/>
        <v>9</v>
      </c>
      <c r="U220" s="346">
        <v>98.4375</v>
      </c>
      <c r="V220" s="346">
        <v>1</v>
      </c>
      <c r="W220" s="346">
        <f t="shared" si="17"/>
        <v>15</v>
      </c>
      <c r="X220" s="347">
        <f t="shared" si="18"/>
        <v>100</v>
      </c>
      <c r="Y220" s="348">
        <f t="shared" si="19"/>
        <v>86.766761804919867</v>
      </c>
      <c r="Z220" s="348">
        <f t="shared" si="20"/>
        <v>0.86766761804919867</v>
      </c>
    </row>
    <row r="221" spans="1:26" s="349" customFormat="1" ht="18.75">
      <c r="A221" s="334">
        <v>282</v>
      </c>
      <c r="B221" s="370" t="s">
        <v>56</v>
      </c>
      <c r="C221" s="335">
        <v>46.958730000000003</v>
      </c>
      <c r="D221" s="336">
        <v>72.244200000000006</v>
      </c>
      <c r="E221" s="337">
        <v>66.75</v>
      </c>
      <c r="F221" s="335">
        <v>1</v>
      </c>
      <c r="G221" s="338">
        <f>Tabela3521[[#This Row],[ICM]]*$C$2</f>
        <v>40</v>
      </c>
      <c r="H221" s="339">
        <v>146.41211000000001</v>
      </c>
      <c r="I221" s="340">
        <v>225.24940000000001</v>
      </c>
      <c r="J221" s="341">
        <v>225.38461538461542</v>
      </c>
      <c r="K221" s="341">
        <v>1</v>
      </c>
      <c r="L221" s="342">
        <f>Tabela3521[[#This Row],[ICM    ]]*$H$2</f>
        <v>15</v>
      </c>
      <c r="M221" s="340">
        <v>163.00424000000001</v>
      </c>
      <c r="N221" s="340">
        <v>203.75530000000001</v>
      </c>
      <c r="O221" s="341">
        <v>227.13178294573643</v>
      </c>
      <c r="P221" s="343">
        <v>1</v>
      </c>
      <c r="Q221" s="342">
        <f>Tabela3521[[#This Row],[ICM      ]]*$M$2</f>
        <v>15</v>
      </c>
      <c r="R221" s="344">
        <v>0.3</v>
      </c>
      <c r="S221" s="345">
        <v>0</v>
      </c>
      <c r="T221" s="344">
        <f t="shared" si="16"/>
        <v>0</v>
      </c>
      <c r="U221" s="346">
        <v>99.456521739130437</v>
      </c>
      <c r="V221" s="346">
        <v>1</v>
      </c>
      <c r="W221" s="346">
        <f t="shared" si="17"/>
        <v>15</v>
      </c>
      <c r="X221" s="347">
        <f t="shared" si="18"/>
        <v>100</v>
      </c>
      <c r="Y221" s="348">
        <f t="shared" si="19"/>
        <v>85</v>
      </c>
      <c r="Z221" s="348">
        <f t="shared" si="20"/>
        <v>0.85</v>
      </c>
    </row>
    <row r="222" spans="1:26" s="349" customFormat="1" ht="18.75">
      <c r="A222" s="334">
        <v>285</v>
      </c>
      <c r="B222" s="370" t="s">
        <v>32</v>
      </c>
      <c r="C222" s="335">
        <v>54.761655000000005</v>
      </c>
      <c r="D222" s="336">
        <v>84.248699999999999</v>
      </c>
      <c r="E222" s="337">
        <v>77.222222222222214</v>
      </c>
      <c r="F222" s="335">
        <v>0.8</v>
      </c>
      <c r="G222" s="338">
        <f>Tabela3521[[#This Row],[ICM]]*$C$2</f>
        <v>32</v>
      </c>
      <c r="H222" s="339">
        <v>170.50091500000002</v>
      </c>
      <c r="I222" s="340">
        <v>262.3091</v>
      </c>
      <c r="J222" s="341">
        <v>243.06220095693783</v>
      </c>
      <c r="K222" s="341">
        <v>0.79035748236323178</v>
      </c>
      <c r="L222" s="342">
        <f>Tabela3521[[#This Row],[ICM    ]]*$H$2</f>
        <v>11.855362235448476</v>
      </c>
      <c r="M222" s="340">
        <v>192.14336000000003</v>
      </c>
      <c r="N222" s="340">
        <v>240.17920000000001</v>
      </c>
      <c r="O222" s="341">
        <v>244.55445544554456</v>
      </c>
      <c r="P222" s="343">
        <v>1</v>
      </c>
      <c r="Q222" s="342">
        <f>Tabela3521[[#This Row],[ICM      ]]*$M$2</f>
        <v>15</v>
      </c>
      <c r="R222" s="344">
        <v>0</v>
      </c>
      <c r="S222" s="345">
        <v>0</v>
      </c>
      <c r="T222" s="344">
        <f t="shared" si="16"/>
        <v>0</v>
      </c>
      <c r="U222" s="346">
        <v>77.157360406091371</v>
      </c>
      <c r="V222" s="346">
        <v>0.8</v>
      </c>
      <c r="W222" s="346">
        <f t="shared" si="17"/>
        <v>12</v>
      </c>
      <c r="X222" s="347">
        <f t="shared" si="18"/>
        <v>100</v>
      </c>
      <c r="Y222" s="348">
        <f t="shared" si="19"/>
        <v>70.855362235448467</v>
      </c>
      <c r="Z222" s="348">
        <f t="shared" si="20"/>
        <v>0.70855362235448471</v>
      </c>
    </row>
    <row r="223" spans="1:26" s="349" customFormat="1" ht="18.75">
      <c r="A223" s="334">
        <v>287</v>
      </c>
      <c r="B223" s="370" t="s">
        <v>103</v>
      </c>
      <c r="C223" s="335">
        <v>41.456935000000001</v>
      </c>
      <c r="D223" s="336">
        <v>63.779899999999998</v>
      </c>
      <c r="E223" s="337">
        <v>65.96888260254596</v>
      </c>
      <c r="F223" s="335">
        <v>1</v>
      </c>
      <c r="G223" s="338">
        <f>Tabela3521[[#This Row],[ICM]]*$C$2</f>
        <v>40</v>
      </c>
      <c r="H223" s="339">
        <v>182.962975</v>
      </c>
      <c r="I223" s="340">
        <v>281.48149999999998</v>
      </c>
      <c r="J223" s="341">
        <v>248.38709677419354</v>
      </c>
      <c r="K223" s="341">
        <v>0.6640793878531327</v>
      </c>
      <c r="L223" s="342">
        <f>Tabela3521[[#This Row],[ICM    ]]*$H$2</f>
        <v>9.9611908177969912</v>
      </c>
      <c r="M223" s="340">
        <v>180.52528000000001</v>
      </c>
      <c r="N223" s="340">
        <v>225.6566</v>
      </c>
      <c r="O223" s="341">
        <v>190.625</v>
      </c>
      <c r="P223" s="343">
        <v>0.55644866707073615</v>
      </c>
      <c r="Q223" s="342">
        <f>Tabela3521[[#This Row],[ICM      ]]*$M$2</f>
        <v>8.3467300060610423</v>
      </c>
      <c r="R223" s="344">
        <v>0.3297121634168988</v>
      </c>
      <c r="S223" s="345">
        <v>0</v>
      </c>
      <c r="T223" s="344">
        <f t="shared" si="16"/>
        <v>0</v>
      </c>
      <c r="U223" s="346">
        <v>99.107142857142861</v>
      </c>
      <c r="V223" s="346">
        <v>1</v>
      </c>
      <c r="W223" s="346">
        <f t="shared" si="17"/>
        <v>15</v>
      </c>
      <c r="X223" s="347">
        <f t="shared" si="18"/>
        <v>100</v>
      </c>
      <c r="Y223" s="348">
        <f t="shared" si="19"/>
        <v>73.307920823858041</v>
      </c>
      <c r="Z223" s="348">
        <f t="shared" si="20"/>
        <v>0.73307920823858042</v>
      </c>
    </row>
    <row r="224" spans="1:26" s="349" customFormat="1" ht="18.75">
      <c r="A224" s="334">
        <v>289</v>
      </c>
      <c r="B224" s="370" t="s">
        <v>212</v>
      </c>
      <c r="C224" s="335">
        <v>34.569470000000003</v>
      </c>
      <c r="D224" s="336">
        <v>53.183799999999998</v>
      </c>
      <c r="E224" s="337">
        <v>56.351001939237236</v>
      </c>
      <c r="F224" s="335">
        <v>1</v>
      </c>
      <c r="G224" s="338">
        <f>Tabela3521[[#This Row],[ICM]]*$C$2</f>
        <v>40</v>
      </c>
      <c r="H224" s="339">
        <v>143.67847</v>
      </c>
      <c r="I224" s="340">
        <v>221.0438</v>
      </c>
      <c r="J224" s="341">
        <v>208.8235294117647</v>
      </c>
      <c r="K224" s="341">
        <v>0.84204461367597983</v>
      </c>
      <c r="L224" s="342">
        <f>Tabela3521[[#This Row],[ICM    ]]*$H$2</f>
        <v>12.630669205139696</v>
      </c>
      <c r="M224" s="340">
        <v>146.18184000000002</v>
      </c>
      <c r="N224" s="340">
        <v>182.72730000000001</v>
      </c>
      <c r="O224" s="341">
        <v>213.84615384615387</v>
      </c>
      <c r="P224" s="343">
        <v>1</v>
      </c>
      <c r="Q224" s="342">
        <f>Tabela3521[[#This Row],[ICM      ]]*$M$2</f>
        <v>15</v>
      </c>
      <c r="R224" s="344">
        <v>0.5</v>
      </c>
      <c r="S224" s="345">
        <v>0.6</v>
      </c>
      <c r="T224" s="344">
        <f t="shared" si="16"/>
        <v>9</v>
      </c>
      <c r="U224" s="346">
        <v>36.93181818181818</v>
      </c>
      <c r="V224" s="346">
        <v>0</v>
      </c>
      <c r="W224" s="346">
        <f t="shared" si="17"/>
        <v>0</v>
      </c>
      <c r="X224" s="347">
        <f t="shared" si="18"/>
        <v>100</v>
      </c>
      <c r="Y224" s="348">
        <f t="shared" si="19"/>
        <v>76.630669205139696</v>
      </c>
      <c r="Z224" s="348">
        <f t="shared" si="20"/>
        <v>0.76630669205139701</v>
      </c>
    </row>
    <row r="225" spans="1:26" s="349" customFormat="1" ht="18.75">
      <c r="A225" s="334">
        <v>293</v>
      </c>
      <c r="B225" s="370" t="s">
        <v>17</v>
      </c>
      <c r="C225" s="335">
        <v>56.136340000000004</v>
      </c>
      <c r="D225" s="336">
        <v>86.363600000000005</v>
      </c>
      <c r="E225" s="337">
        <v>79.926470588235304</v>
      </c>
      <c r="F225" s="335">
        <v>0.8</v>
      </c>
      <c r="G225" s="338">
        <f>Tabela3521[[#This Row],[ICM]]*$C$2</f>
        <v>32</v>
      </c>
      <c r="H225" s="339">
        <v>185.24044499999999</v>
      </c>
      <c r="I225" s="340">
        <v>284.9853</v>
      </c>
      <c r="J225" s="341">
        <v>306.15384615384619</v>
      </c>
      <c r="K225" s="341">
        <v>1</v>
      </c>
      <c r="L225" s="342">
        <f>Tabela3521[[#This Row],[ICM    ]]*$H$2</f>
        <v>15</v>
      </c>
      <c r="M225" s="340">
        <v>201.69248000000002</v>
      </c>
      <c r="N225" s="340">
        <v>252.1156</v>
      </c>
      <c r="O225" s="341">
        <v>317.46031746031747</v>
      </c>
      <c r="P225" s="343">
        <v>1</v>
      </c>
      <c r="Q225" s="342">
        <f>Tabela3521[[#This Row],[ICM      ]]*$M$2</f>
        <v>15</v>
      </c>
      <c r="R225" s="344">
        <v>0.32088772845953001</v>
      </c>
      <c r="S225" s="345">
        <v>0</v>
      </c>
      <c r="T225" s="344">
        <f t="shared" si="16"/>
        <v>0</v>
      </c>
      <c r="U225" s="346">
        <v>86.821705426356587</v>
      </c>
      <c r="V225" s="346">
        <v>0.9</v>
      </c>
      <c r="W225" s="346">
        <f t="shared" si="17"/>
        <v>13.5</v>
      </c>
      <c r="X225" s="347">
        <f t="shared" si="18"/>
        <v>100</v>
      </c>
      <c r="Y225" s="348">
        <f t="shared" si="19"/>
        <v>75.5</v>
      </c>
      <c r="Z225" s="348">
        <f t="shared" si="20"/>
        <v>0.755</v>
      </c>
    </row>
    <row r="226" spans="1:26" s="349" customFormat="1" ht="18.75">
      <c r="A226" s="334">
        <v>295</v>
      </c>
      <c r="B226" s="370" t="s">
        <v>11</v>
      </c>
      <c r="C226" s="335">
        <v>55.13391</v>
      </c>
      <c r="D226" s="336">
        <v>84.821399999999997</v>
      </c>
      <c r="E226" s="337">
        <v>78</v>
      </c>
      <c r="F226" s="335">
        <v>0.8</v>
      </c>
      <c r="G226" s="338">
        <f>Tabela3521[[#This Row],[ICM]]*$C$2</f>
        <v>32</v>
      </c>
      <c r="H226" s="339">
        <v>188.00866500000001</v>
      </c>
      <c r="I226" s="340">
        <v>289.2441</v>
      </c>
      <c r="J226" s="341">
        <v>264.07766990291265</v>
      </c>
      <c r="K226" s="341">
        <v>0.75140690513072461</v>
      </c>
      <c r="L226" s="342">
        <f>Tabela3521[[#This Row],[ICM    ]]*$H$2</f>
        <v>11.271103576960869</v>
      </c>
      <c r="M226" s="340">
        <v>203.17136000000002</v>
      </c>
      <c r="N226" s="340">
        <v>253.96420000000001</v>
      </c>
      <c r="O226" s="341">
        <v>250.46728971962614</v>
      </c>
      <c r="P226" s="343">
        <v>0.9606591313671784</v>
      </c>
      <c r="Q226" s="342">
        <f>Tabela3521[[#This Row],[ICM      ]]*$M$2</f>
        <v>14.409886970507676</v>
      </c>
      <c r="R226" s="344">
        <v>0</v>
      </c>
      <c r="S226" s="345">
        <v>0</v>
      </c>
      <c r="T226" s="344">
        <f t="shared" si="16"/>
        <v>0</v>
      </c>
      <c r="U226" s="346">
        <v>75.109170305676855</v>
      </c>
      <c r="V226" s="346">
        <v>0.8</v>
      </c>
      <c r="W226" s="346">
        <f t="shared" si="17"/>
        <v>12</v>
      </c>
      <c r="X226" s="347">
        <f t="shared" si="18"/>
        <v>100</v>
      </c>
      <c r="Y226" s="348">
        <f t="shared" si="19"/>
        <v>69.680990547468554</v>
      </c>
      <c r="Z226" s="348">
        <f t="shared" si="20"/>
        <v>0.69680990547468558</v>
      </c>
    </row>
    <row r="227" spans="1:26" s="349" customFormat="1" ht="18.75">
      <c r="A227" s="334">
        <v>300</v>
      </c>
      <c r="B227" s="370" t="s">
        <v>223</v>
      </c>
      <c r="C227" s="335">
        <v>38.57347</v>
      </c>
      <c r="D227" s="336">
        <v>59.343800000000002</v>
      </c>
      <c r="E227" s="337">
        <v>72.445462478184993</v>
      </c>
      <c r="F227" s="335">
        <v>1</v>
      </c>
      <c r="G227" s="338">
        <f>Tabela3521[[#This Row],[ICM]]*$C$2</f>
        <v>40</v>
      </c>
      <c r="H227" s="369"/>
      <c r="I227" s="369"/>
      <c r="J227" s="369"/>
      <c r="K227" s="369"/>
      <c r="L227" s="369"/>
      <c r="M227" s="369"/>
      <c r="N227" s="369"/>
      <c r="O227" s="369"/>
      <c r="P227" s="369"/>
      <c r="Q227" s="369"/>
      <c r="R227" s="344">
        <v>0.5</v>
      </c>
      <c r="S227" s="345">
        <v>0.6</v>
      </c>
      <c r="T227" s="344">
        <f t="shared" si="16"/>
        <v>9</v>
      </c>
      <c r="U227" s="346">
        <v>77.826086956521735</v>
      </c>
      <c r="V227" s="346">
        <v>0.8</v>
      </c>
      <c r="W227" s="346">
        <f t="shared" si="17"/>
        <v>12</v>
      </c>
      <c r="X227" s="347">
        <f>(IF(ISBLANK(E227),0,$C$2))+(IF(ISBLANK(J227),0,$H$2))+(IF(ISBLANK(O227),0,$M$2))+(IF(ISBLANK(R227),0,$R$2)+(IF(ISBLANK(U227),0,$U$2)))</f>
        <v>70</v>
      </c>
      <c r="Y227" s="348">
        <f t="shared" si="19"/>
        <v>61</v>
      </c>
      <c r="Z227" s="348">
        <f t="shared" si="20"/>
        <v>0.87142857142857144</v>
      </c>
    </row>
    <row r="228" spans="1:26">
      <c r="A228" s="315" t="s">
        <v>593</v>
      </c>
      <c r="B228" s="372" t="s">
        <v>229</v>
      </c>
      <c r="C228" s="316"/>
      <c r="D228" s="316"/>
      <c r="E228" s="317"/>
      <c r="F228" s="317"/>
      <c r="G228" s="317"/>
      <c r="H228" s="284"/>
      <c r="I228" s="284"/>
      <c r="J228" s="317"/>
      <c r="K228" s="317"/>
      <c r="L228" s="317"/>
      <c r="M228" s="284"/>
      <c r="N228" s="284"/>
      <c r="O228" s="317"/>
      <c r="P228" s="317"/>
      <c r="Q228" s="317"/>
      <c r="R228" s="317"/>
      <c r="S228" s="318"/>
      <c r="T228" s="317"/>
      <c r="U228" s="317"/>
      <c r="V228" s="317"/>
      <c r="W228" s="317"/>
      <c r="X228" s="317"/>
      <c r="Y228" s="317"/>
      <c r="Z228" s="319"/>
    </row>
    <row r="229" spans="1:26">
      <c r="A229" s="315" t="s">
        <v>594</v>
      </c>
      <c r="B229" s="372" t="s">
        <v>231</v>
      </c>
      <c r="C229" s="316"/>
      <c r="D229" s="316"/>
      <c r="E229" s="317"/>
      <c r="F229" s="317"/>
      <c r="G229" s="317"/>
      <c r="H229" s="284"/>
      <c r="I229" s="284"/>
      <c r="J229" s="317"/>
      <c r="K229" s="317"/>
      <c r="L229" s="317"/>
      <c r="M229" s="284"/>
      <c r="N229" s="284"/>
      <c r="O229" s="317"/>
      <c r="P229" s="317"/>
      <c r="Q229" s="317"/>
      <c r="R229" s="317"/>
      <c r="S229" s="318"/>
      <c r="T229" s="317"/>
      <c r="U229" s="317"/>
      <c r="V229" s="317"/>
      <c r="W229" s="317"/>
      <c r="X229" s="317"/>
      <c r="Y229" s="317"/>
      <c r="Z229" s="319"/>
    </row>
    <row r="230" spans="1:26">
      <c r="A230" s="315" t="s">
        <v>595</v>
      </c>
      <c r="B230" s="372" t="s">
        <v>232</v>
      </c>
      <c r="C230" s="316"/>
      <c r="D230" s="316"/>
      <c r="E230" s="317"/>
      <c r="F230" s="317"/>
      <c r="G230" s="317"/>
      <c r="H230" s="284"/>
      <c r="I230" s="284"/>
      <c r="J230" s="317"/>
      <c r="K230" s="317"/>
      <c r="L230" s="317"/>
      <c r="M230" s="284"/>
      <c r="N230" s="284"/>
      <c r="O230" s="317"/>
      <c r="P230" s="317"/>
      <c r="Q230" s="317"/>
      <c r="R230" s="317"/>
      <c r="S230" s="318"/>
      <c r="T230" s="317"/>
      <c r="U230" s="317"/>
      <c r="V230" s="317"/>
      <c r="W230" s="317"/>
      <c r="X230" s="317"/>
      <c r="Y230" s="317"/>
      <c r="Z230" s="319"/>
    </row>
    <row r="231" spans="1:26">
      <c r="A231" s="315" t="s">
        <v>596</v>
      </c>
      <c r="B231" s="372" t="s">
        <v>468</v>
      </c>
      <c r="C231" s="316"/>
      <c r="D231" s="316"/>
      <c r="E231" s="317"/>
      <c r="F231" s="317"/>
      <c r="G231" s="317"/>
      <c r="H231" s="284"/>
      <c r="I231" s="284"/>
      <c r="J231" s="317"/>
      <c r="K231" s="317"/>
      <c r="L231" s="317"/>
      <c r="M231" s="284"/>
      <c r="N231" s="284"/>
      <c r="O231" s="317"/>
      <c r="P231" s="317"/>
      <c r="Q231" s="317"/>
      <c r="R231" s="317"/>
      <c r="S231" s="317"/>
      <c r="T231" s="317"/>
      <c r="U231" s="317"/>
      <c r="V231" s="317"/>
      <c r="W231" s="317"/>
      <c r="X231" s="317"/>
      <c r="Y231" s="317"/>
      <c r="Z231" s="319"/>
    </row>
    <row r="232" spans="1:26">
      <c r="A232" s="309"/>
      <c r="B232" s="373"/>
      <c r="C232" s="310"/>
      <c r="D232" s="310"/>
      <c r="E232" s="320"/>
      <c r="F232" s="321"/>
      <c r="G232" s="321"/>
      <c r="H232" s="321"/>
      <c r="I232" s="321"/>
      <c r="J232" s="322"/>
      <c r="K232" s="323"/>
      <c r="L232" s="323"/>
      <c r="M232" s="323"/>
      <c r="N232" s="323"/>
      <c r="O232" s="323"/>
      <c r="P232" s="323"/>
      <c r="Q232" s="323"/>
      <c r="R232" s="320"/>
      <c r="S232" s="320"/>
      <c r="T232" s="320"/>
      <c r="U232" s="320"/>
      <c r="V232" s="320"/>
      <c r="W232" s="320"/>
      <c r="X232" s="324"/>
      <c r="Y232" s="325"/>
      <c r="Z232" s="325">
        <f>AVERAGE(Z4:Z227)</f>
        <v>0.83480896203852317</v>
      </c>
    </row>
  </sheetData>
  <mergeCells count="16">
    <mergeCell ref="A1:B2"/>
    <mergeCell ref="C1:G1"/>
    <mergeCell ref="H1:L1"/>
    <mergeCell ref="M1:Q1"/>
    <mergeCell ref="R1:T1"/>
    <mergeCell ref="AF19:AG19"/>
    <mergeCell ref="AB19:AB20"/>
    <mergeCell ref="AC19:AD19"/>
    <mergeCell ref="X1:Z1"/>
    <mergeCell ref="C2:G2"/>
    <mergeCell ref="H2:L2"/>
    <mergeCell ref="M2:Q2"/>
    <mergeCell ref="R2:T2"/>
    <mergeCell ref="U2:W2"/>
    <mergeCell ref="X2:Z2"/>
    <mergeCell ref="U1:W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V151" calculatedColumn="1"/>
  </ignoredErrors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49718-C002-4178-9CD8-205631031301}">
  <sheetPr>
    <tabColor theme="5" tint="-0.249977111117893"/>
  </sheetPr>
  <dimension ref="A1:O238"/>
  <sheetViews>
    <sheetView showGridLines="0" tabSelected="1" workbookViewId="0">
      <selection activeCell="H5" sqref="H5"/>
    </sheetView>
  </sheetViews>
  <sheetFormatPr defaultRowHeight="15.75"/>
  <cols>
    <col min="1" max="1" width="9.28515625" style="234" bestFit="1" customWidth="1"/>
    <col min="2" max="2" width="42" style="231" bestFit="1" customWidth="1"/>
    <col min="3" max="3" width="15.85546875" style="234" customWidth="1"/>
    <col min="4" max="4" width="16.5703125" style="234" customWidth="1"/>
    <col min="5" max="5" width="19.5703125" style="234" customWidth="1"/>
    <col min="6" max="6" width="25.85546875" style="234" customWidth="1"/>
    <col min="7" max="7" width="23.140625" style="234" customWidth="1"/>
    <col min="8" max="8" width="21.28515625" style="234" customWidth="1"/>
    <col min="9" max="9" width="26.42578125" style="234" customWidth="1"/>
    <col min="10" max="10" width="16.140625" style="234" customWidth="1"/>
    <col min="11" max="11" width="14.42578125" style="234" customWidth="1"/>
    <col min="12" max="12" width="30.28515625" style="234" customWidth="1"/>
    <col min="13" max="13" width="25.5703125" style="234" customWidth="1"/>
    <col min="14" max="14" width="19.7109375" style="234" customWidth="1"/>
    <col min="15" max="15" width="16.85546875" style="234" customWidth="1"/>
    <col min="16" max="16384" width="9.140625" style="234"/>
  </cols>
  <sheetData>
    <row r="1" spans="1:15">
      <c r="B1" s="406" t="s">
        <v>463</v>
      </c>
      <c r="C1" s="407">
        <v>70</v>
      </c>
      <c r="D1" s="227"/>
      <c r="E1" s="228"/>
      <c r="F1" s="229"/>
      <c r="G1" s="230"/>
      <c r="H1" s="231"/>
      <c r="I1" s="231"/>
      <c r="J1" s="232"/>
      <c r="K1" s="233"/>
      <c r="L1" s="233"/>
      <c r="O1" s="374"/>
    </row>
    <row r="2" spans="1:15">
      <c r="B2" s="406" t="s">
        <v>683</v>
      </c>
      <c r="C2" s="407">
        <f>AVERAGE(D11:D234)</f>
        <v>70.676688121548764</v>
      </c>
      <c r="D2" s="235"/>
      <c r="E2" s="228"/>
      <c r="F2" s="236"/>
      <c r="G2" s="237"/>
      <c r="H2" s="231"/>
      <c r="I2" s="231"/>
      <c r="J2" s="232"/>
      <c r="K2" s="233"/>
      <c r="L2" s="238"/>
      <c r="O2" s="374"/>
    </row>
    <row r="3" spans="1:15">
      <c r="B3" s="406" t="s">
        <v>684</v>
      </c>
      <c r="C3" s="407">
        <f>MAX(D11:D234)</f>
        <v>100</v>
      </c>
      <c r="D3" s="239"/>
      <c r="E3" s="228"/>
      <c r="F3" s="236"/>
      <c r="G3" s="237"/>
      <c r="H3" s="231"/>
      <c r="I3" s="231"/>
      <c r="J3" s="232"/>
      <c r="K3" s="241"/>
      <c r="L3" s="233"/>
    </row>
    <row r="4" spans="1:15">
      <c r="B4" s="406" t="s">
        <v>685</v>
      </c>
      <c r="C4" s="407">
        <f>IF(C2&gt;C1, AVERAGEIFS($D$11:$D$234, $D$11:$D$234, "&gt;="&amp;$C$1, $D$11:$D$234, "&lt;="&amp;$C$3), AVERAGEIFS($D$11:$D$234, $D$11:$D$234, "&gt;="&amp;$C$1, $D$11:$D$234, "&lt;="&amp;$C$3))</f>
        <v>76.733722151280389</v>
      </c>
      <c r="D4" s="239"/>
      <c r="E4" s="240"/>
      <c r="F4" s="242"/>
      <c r="G4" s="231"/>
      <c r="H4" s="231"/>
      <c r="I4" s="231"/>
      <c r="J4" s="232"/>
      <c r="K4" s="233"/>
      <c r="L4" s="238"/>
      <c r="M4" s="231"/>
      <c r="N4" s="243"/>
    </row>
    <row r="5" spans="1:15">
      <c r="B5" s="406" t="s">
        <v>686</v>
      </c>
      <c r="C5" s="407">
        <v>88.366900000000001</v>
      </c>
      <c r="D5" s="375"/>
      <c r="E5" s="375"/>
      <c r="F5" s="376"/>
    </row>
    <row r="6" spans="1:15">
      <c r="B6" s="406" t="s">
        <v>687</v>
      </c>
      <c r="C6" s="407">
        <f>(C4+C1)/2</f>
        <v>73.366861075640202</v>
      </c>
      <c r="D6" s="375"/>
      <c r="E6" s="377">
        <v>0.65</v>
      </c>
      <c r="F6" s="376"/>
    </row>
    <row r="7" spans="1:15">
      <c r="B7" s="406" t="s">
        <v>688</v>
      </c>
      <c r="C7" s="407">
        <f>(C4+C5)/2</f>
        <v>82.550311075640195</v>
      </c>
      <c r="J7" s="232"/>
    </row>
    <row r="8" spans="1:15">
      <c r="B8" s="406" t="s">
        <v>689</v>
      </c>
      <c r="C8" s="407">
        <f>($C$2+$C$6)*0.5</f>
        <v>72.021774598594476</v>
      </c>
    </row>
    <row r="9" spans="1:15">
      <c r="B9" s="406" t="s">
        <v>690</v>
      </c>
      <c r="C9" s="407">
        <f>C8+25%</f>
        <v>72.271774598594476</v>
      </c>
    </row>
    <row r="10" spans="1:15" ht="78.75">
      <c r="A10" s="378" t="s">
        <v>0</v>
      </c>
      <c r="B10" s="379" t="s">
        <v>1</v>
      </c>
      <c r="C10" s="379" t="s">
        <v>691</v>
      </c>
      <c r="D10" s="379" t="s">
        <v>692</v>
      </c>
      <c r="E10" s="379" t="s">
        <v>464</v>
      </c>
      <c r="F10" s="379" t="s">
        <v>693</v>
      </c>
      <c r="G10" s="249" t="s">
        <v>694</v>
      </c>
      <c r="H10" s="249" t="s">
        <v>695</v>
      </c>
      <c r="I10" s="250" t="s">
        <v>465</v>
      </c>
      <c r="J10" s="250" t="s">
        <v>466</v>
      </c>
      <c r="K10" s="250" t="s">
        <v>467</v>
      </c>
      <c r="L10" s="250" t="s">
        <v>696</v>
      </c>
      <c r="M10" s="251" t="s">
        <v>697</v>
      </c>
      <c r="N10" s="251" t="s">
        <v>698</v>
      </c>
      <c r="O10" s="248" t="s">
        <v>699</v>
      </c>
    </row>
    <row r="11" spans="1:15">
      <c r="A11" s="380">
        <v>6</v>
      </c>
      <c r="B11" s="408" t="s">
        <v>160</v>
      </c>
      <c r="C11" s="381">
        <v>0.57081741787624141</v>
      </c>
      <c r="D11" s="258">
        <f t="shared" ref="D11:D74" si="0">C11*100</f>
        <v>57.081741787624139</v>
      </c>
      <c r="E11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1" s="320">
        <v>69.152854511970531</v>
      </c>
      <c r="G11" s="383">
        <f>Tabela746[[#This Row],[Meta 2024 (N)]]*$E$6</f>
        <v>44.999435000000005</v>
      </c>
      <c r="H11" s="384">
        <v>69.229900000000001</v>
      </c>
      <c r="I11" s="258" t="b">
        <f>IF(E11="Referência",
   IF(Tabela746[[#This Row],[TCC 2024 (N)]]&gt;=Tabela746[[#This Row],[TCC 2023(n)]],1,
      IF(Tabela746[[#This Row],[TCC 2024 (N)]]&gt;=C5,0.95,
         IF(AND(Tabela746[[#This Row],[TCC 2024 (N)]]&lt;Tabela746[[#This Row],[TCC 2024]], Tabela746[[#This Row],[TCC 2024 (N)]]&gt;E4),0.85,
            IF(AND(Tabela746[[#This Row],[TCC 2024 (N)]]&lt;E4, Tabela746[[#This Row],[TCC 2024 (N)]]&gt;=C4),0.8, FALSE)
         )
      )
   )
)</f>
        <v>0</v>
      </c>
      <c r="J11" s="258" t="b">
        <f>IF(E11="Excelência",
   IF(Tabela746[[#This Row],[TCC 2024 (N)]]&gt;=Tabela746[[#This Row],[TCC 2023(n)]],1,
      IF(Tabela746[[#This Row],[TCC 2024 (N)]]&gt;=C5,0.95,
         IF(AND(Tabela746[[#This Row],[TCC 2024 (N)]]&lt;Tabela746[[#This Row],[TCC 2024]], Tabela746[[#This Row],[TCC 2024 (N)]]&gt;E4),0.85,
            IF(AND(Tabela746[[#This Row],[TCC 2024 (N)]]&lt;E4, Tabela746[[#This Row],[TCC 2024 (N)]]&gt;=C4),0.8, FALSE)
         )
      )
   )
)</f>
        <v>0</v>
      </c>
      <c r="K11" s="258">
        <f>IF(E11="Intermediário", MAX(0, MIN(1, (Tabela746[[#This Row],[TCC 2024 (N)]]-Tabela746[[#This Row],[Linha de Base 2024 (N) ]])/(Tabela746[[#This Row],[Meta 2024 (N)]]-Tabela746[[#This Row],[Linha de Base 2024 (N) ]]))), "FALSO")</f>
        <v>0.49864114401535986</v>
      </c>
      <c r="L11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1" s="259">
        <f>SUM(Tabela746[[#This Row],[ICM Atribuído - Grupo 1]:[ICM Atribuído - Grupo 4]])</f>
        <v>0.49864114401535986</v>
      </c>
      <c r="N11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0.5</v>
      </c>
      <c r="O11" s="258">
        <f>IF(Tabela746[[#This Row],[APLICANDO FORMULA GRUPO 3 - ENQUADRAMENTO]]&lt;0,0,Tabela746[[#This Row],[APLICANDO FORMULA GRUPO 3 - ENQUADRAMENTO]])</f>
        <v>0.5</v>
      </c>
    </row>
    <row r="12" spans="1:15">
      <c r="A12" s="385">
        <v>7</v>
      </c>
      <c r="B12" s="409" t="s">
        <v>64</v>
      </c>
      <c r="C12" s="381">
        <v>0.73340548340548339</v>
      </c>
      <c r="D12" s="258">
        <f t="shared" si="0"/>
        <v>73.340548340548338</v>
      </c>
      <c r="E12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2" s="320">
        <v>73.742138364779876</v>
      </c>
      <c r="G12" s="383">
        <f>Tabela746[[#This Row],[Meta 2024 (N)]]*$E$6</f>
        <v>48.123010000000001</v>
      </c>
      <c r="H12" s="386">
        <v>74.035399999999996</v>
      </c>
      <c r="I12" s="258" t="b">
        <f>IF(E12="Referência",
   IF(Tabela746[[#This Row],[TCC 2024 (N)]]&gt;=Tabela746[[#This Row],[TCC 2023(n)]],1,
      IF(Tabela746[[#This Row],[TCC 2024 (N)]]&gt;=C5,0.95,
         IF(AND(Tabela746[[#This Row],[TCC 2024 (N)]]&lt;Tabela746[[#This Row],[TCC 2024]], Tabela746[[#This Row],[TCC 2024 (N)]]&gt;E4),0.85,
            IF(AND(Tabela746[[#This Row],[TCC 2024 (N)]]&lt;E4, Tabela746[[#This Row],[TCC 2024 (N)]]&gt;=C4),0.8, FALSE)
         )
      )
   )
)</f>
        <v>0</v>
      </c>
      <c r="J12" s="258">
        <f>IF(E12="Excelência",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0.85</v>
      </c>
      <c r="K12" s="258" t="str">
        <f>IF(E12="Intermediário", MAX(0, MIN(1, (Tabela746[[#This Row],[TCC 2024 (N)]]-Tabela746[[#This Row],[Linha de Base 2024 (N) ]])/(Tabela746[[#This Row],[Meta 2024 (N)]]-Tabela746[[#This Row],[Linha de Base 2024 (N) ]]))), "FALSO")</f>
        <v>FALSO</v>
      </c>
      <c r="L12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2" s="259">
        <f>SUM(Tabela746[[#This Row],[ICM Atribuído - Grupo 1]:[ICM Atribuído - Grupo 4]])</f>
        <v>0.85</v>
      </c>
      <c r="N12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0.85</v>
      </c>
      <c r="O12" s="258">
        <f>IF(Tabela746[[#This Row],[APLICANDO FORMULA GRUPO 3 - ENQUADRAMENTO]]&lt;0,0,Tabela746[[#This Row],[APLICANDO FORMULA GRUPO 3 - ENQUADRAMENTO]])</f>
        <v>0.85</v>
      </c>
    </row>
    <row r="13" spans="1:15">
      <c r="A13" s="380">
        <v>8</v>
      </c>
      <c r="B13" s="408" t="s">
        <v>60</v>
      </c>
      <c r="C13" s="381">
        <v>0.71597736685527624</v>
      </c>
      <c r="D13" s="258">
        <f t="shared" si="0"/>
        <v>71.597736685527622</v>
      </c>
      <c r="E13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3" s="320">
        <v>70.752089136490241</v>
      </c>
      <c r="G13" s="383">
        <f>Tabela746[[#This Row],[Meta 2024 (N)]]*$E$6</f>
        <v>46.356180000000002</v>
      </c>
      <c r="H13" s="386">
        <v>71.3172</v>
      </c>
      <c r="I13" s="258" t="b">
        <f>IF(E13="Referência",
   IF(Tabela746[[#This Row],[TCC 2024 (N)]]&gt;=Tabela746[[#This Row],[TCC 2023(n)]],1,
      IF(Tabela746[[#This Row],[TCC 2024 (N)]]&gt;=C6,0.95,
         IF(AND(Tabela746[[#This Row],[TCC 2024 (N)]]&lt;Tabela746[[#This Row],[TCC 2024]], Tabela746[[#This Row],[TCC 2024 (N)]]&gt;E5),0.85,
            IF(AND(Tabela746[[#This Row],[TCC 2024 (N)]]&lt;E5, Tabela746[[#This Row],[TCC 2024 (N)]]&gt;=C5),0.8, FALSE)
         )
      )
   )
)</f>
        <v>0</v>
      </c>
      <c r="J13" s="258">
        <f>IF(E13="Excelência",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13" s="258" t="str">
        <f>IF(E13="Intermediário", MAX(0, MIN(1, (Tabela746[[#This Row],[TCC 2024 (N)]]-Tabela746[[#This Row],[Linha de Base 2024 (N) ]])/(Tabela746[[#This Row],[Meta 2024 (N)]]-Tabela746[[#This Row],[Linha de Base 2024 (N) ]]))), "FALSO")</f>
        <v>FALSO</v>
      </c>
      <c r="L13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3" s="259">
        <f>SUM(Tabela746[[#This Row],[ICM Atribuído - Grupo 1]:[ICM Atribuído - Grupo 4]])</f>
        <v>1</v>
      </c>
      <c r="N13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3" s="258">
        <f>IF(Tabela746[[#This Row],[APLICANDO FORMULA GRUPO 3 - ENQUADRAMENTO]]&lt;0,0,Tabela746[[#This Row],[APLICANDO FORMULA GRUPO 3 - ENQUADRAMENTO]])</f>
        <v>1</v>
      </c>
    </row>
    <row r="14" spans="1:15">
      <c r="A14" s="385">
        <v>9</v>
      </c>
      <c r="B14" s="409" t="s">
        <v>57</v>
      </c>
      <c r="C14" s="381">
        <v>0.76601203113941962</v>
      </c>
      <c r="D14" s="258">
        <f t="shared" si="0"/>
        <v>76.601203113941963</v>
      </c>
      <c r="E14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4" s="320">
        <v>76.271186440677965</v>
      </c>
      <c r="G14" s="383">
        <f>Tabela746[[#This Row],[Meta 2024 (N)]]*$E$6</f>
        <v>49.617489999999997</v>
      </c>
      <c r="H14" s="386">
        <v>76.334599999999995</v>
      </c>
      <c r="I14" s="258" t="b">
        <f>IF(E14="Referência",
   IF(Tabela746[[#This Row],[TCC 2024 (N)]]&gt;=Tabela746[[#This Row],[TCC 2023(n)]],1,
      IF(Tabela746[[#This Row],[TCC 2024 (N)]]&gt;=C8,0.95,
         IF(AND(Tabela746[[#This Row],[TCC 2024 (N)]]&lt;Tabela746[[#This Row],[TCC 2024]], Tabela746[[#This Row],[TCC 2024 (N)]]&gt;E7),0.85,
            IF(AND(Tabela746[[#This Row],[TCC 2024 (N)]]&lt;E7, Tabela746[[#This Row],[TCC 2024 (N)]]&gt;=C7),0.8, FALSE)
         )
      )
   )
)</f>
        <v>0</v>
      </c>
      <c r="J14" s="258">
        <f>IF(E14="Excelência",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14" s="258" t="str">
        <f>IF(E14="Intermediário", MAX(0, MIN(1, (Tabela746[[#This Row],[TCC 2024 (N)]]-Tabela746[[#This Row],[Linha de Base 2024 (N) ]])/(Tabela746[[#This Row],[Meta 2024 (N)]]-Tabela746[[#This Row],[Linha de Base 2024 (N) ]]))), "FALSO")</f>
        <v>FALSO</v>
      </c>
      <c r="L14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4" s="259">
        <f>SUM(Tabela746[[#This Row],[ICM Atribuído - Grupo 1]:[ICM Atribuído - Grupo 4]])</f>
        <v>1</v>
      </c>
      <c r="N14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4" s="258">
        <f>IF(Tabela746[[#This Row],[APLICANDO FORMULA GRUPO 3 - ENQUADRAMENTO]]&lt;0,0,Tabela746[[#This Row],[APLICANDO FORMULA GRUPO 3 - ENQUADRAMENTO]])</f>
        <v>1</v>
      </c>
    </row>
    <row r="15" spans="1:15">
      <c r="A15" s="380">
        <v>10</v>
      </c>
      <c r="B15" s="408" t="s">
        <v>39</v>
      </c>
      <c r="C15" s="381">
        <v>0.78216323492929796</v>
      </c>
      <c r="D15" s="258">
        <f t="shared" si="0"/>
        <v>78.216323492929803</v>
      </c>
      <c r="E15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15" s="320">
        <v>72.660238230289281</v>
      </c>
      <c r="G15" s="383">
        <f>Tabela746[[#This Row],[Meta 2024 (N)]]*$E$6</f>
        <v>47.483735000000003</v>
      </c>
      <c r="H15" s="386">
        <v>73.051900000000003</v>
      </c>
      <c r="I15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15" s="258" t="b">
        <f>IF(E15="Excelência",
   IF(Tabela746[[#This Row],[TCC 2024 (N)]]&gt;=Tabela746[[#This Row],[TCC 2023(n)]],1,
      IF(Tabela746[[#This Row],[TCC 2024 (N)]]&gt;=C9,0.95,
         IF(AND(Tabela746[[#This Row],[TCC 2024 (N)]]&lt;Tabela746[[#This Row],[TCC 2024]], Tabela746[[#This Row],[TCC 2024 (N)]]&gt;E8),0.85,
            IF(AND(Tabela746[[#This Row],[TCC 2024 (N)]]&lt;E8, Tabela746[[#This Row],[TCC 2024 (N)]]&gt;=C8),0.8, FALSE)
         )
      )
   )
)</f>
        <v>0</v>
      </c>
      <c r="K15" s="258" t="str">
        <f>IF(E15="Intermediário", MAX(0, MIN(1, (Tabela746[[#This Row],[TCC 2024 (N)]]-Tabela746[[#This Row],[Linha de Base 2024 (N) ]])/(Tabela746[[#This Row],[Meta 2024 (N)]]-Tabela746[[#This Row],[Linha de Base 2024 (N) ]]))), "FALSO")</f>
        <v>FALSO</v>
      </c>
      <c r="L15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5" s="259">
        <f>SUM(Tabela746[[#This Row],[ICM Atribuído - Grupo 1]:[ICM Atribuído - Grupo 4]])</f>
        <v>1</v>
      </c>
      <c r="N15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5" s="258">
        <f>IF(Tabela746[[#This Row],[APLICANDO FORMULA GRUPO 3 - ENQUADRAMENTO]]&lt;0,0,Tabela746[[#This Row],[APLICANDO FORMULA GRUPO 3 - ENQUADRAMENTO]])</f>
        <v>1</v>
      </c>
    </row>
    <row r="16" spans="1:15">
      <c r="A16" s="385">
        <v>11</v>
      </c>
      <c r="B16" s="409" t="s">
        <v>159</v>
      </c>
      <c r="C16" s="381">
        <v>0.6619217497643769</v>
      </c>
      <c r="D16" s="258">
        <f t="shared" si="0"/>
        <v>66.192174976437684</v>
      </c>
      <c r="E16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6" s="320">
        <v>65.732484076433124</v>
      </c>
      <c r="G16" s="383">
        <f>Tabela746[[#This Row],[Meta 2024 (N)]]*$E$6</f>
        <v>42.978260000000006</v>
      </c>
      <c r="H16" s="386">
        <v>66.120400000000004</v>
      </c>
      <c r="I16" s="258" t="b">
        <f>IF(E16="Referência",
   IF(Tabela746[[#This Row],[TCC 2024 (N)]]&gt;=Tabela746[[#This Row],[TCC 2023(n)]],1,
      IF(Tabela746[[#This Row],[TCC 2024 (N)]]&gt;=C10,0.95,
         IF(AND(Tabela746[[#This Row],[TCC 2024 (N)]]&lt;Tabela746[[#This Row],[TCC 2024]], Tabela746[[#This Row],[TCC 2024 (N)]]&gt;E9),0.85,
            IF(AND(Tabela746[[#This Row],[TCC 2024 (N)]]&lt;E9, Tabela746[[#This Row],[TCC 2024 (N)]]&gt;=C9),0.8, FALSE)
         )
      )
   )
)</f>
        <v>0</v>
      </c>
      <c r="J16" s="258" t="b">
        <f>IF(E16="Excelência",
   IF(Tabela746[[#This Row],[TCC 2024 (N)]]&gt;=Tabela746[[#This Row],[TCC 2023(n)]],1,
      IF(Tabela746[[#This Row],[TCC 2024 (N)]]&gt;=C10,0.95,
         IF(AND(Tabela746[[#This Row],[TCC 2024 (N)]]&lt;Tabela746[[#This Row],[TCC 2024]], Tabela746[[#This Row],[TCC 2024 (N)]]&gt;E9),0.85,
            IF(AND(Tabela746[[#This Row],[TCC 2024 (N)]]&lt;E9, Tabela746[[#This Row],[TCC 2024 (N)]]&gt;=C9),0.8, FALSE)
         )
      )
   )
)</f>
        <v>0</v>
      </c>
      <c r="K16" s="258">
        <f>IF(E16="Intermediário", MAX(0, MIN(1, (Tabela746[[#This Row],[TCC 2024 (N)]]-Tabela746[[#This Row],[Linha de Base 2024 (N) ]])/(Tabela746[[#This Row],[Meta 2024 (N)]]-Tabela746[[#This Row],[Linha de Base 2024 (N) ]]))), "FALSO")</f>
        <v>1</v>
      </c>
      <c r="L16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6" s="259">
        <f>SUM(Tabela746[[#This Row],[ICM Atribuído - Grupo 1]:[ICM Atribuído - Grupo 4]])</f>
        <v>1</v>
      </c>
      <c r="N16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6" s="258">
        <f>IF(Tabela746[[#This Row],[APLICANDO FORMULA GRUPO 3 - ENQUADRAMENTO]]&lt;0,0,Tabela746[[#This Row],[APLICANDO FORMULA GRUPO 3 - ENQUADRAMENTO]])</f>
        <v>1</v>
      </c>
    </row>
    <row r="17" spans="1:15">
      <c r="A17" s="380">
        <v>12</v>
      </c>
      <c r="B17" s="408" t="s">
        <v>66</v>
      </c>
      <c r="C17" s="381">
        <v>0.76889856814682456</v>
      </c>
      <c r="D17" s="258">
        <f t="shared" si="0"/>
        <v>76.88985681468246</v>
      </c>
      <c r="E17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17" s="320">
        <v>74.066168623265739</v>
      </c>
      <c r="G17" s="383">
        <f>Tabela746[[#This Row],[Meta 2024 (N)]]*$E$6</f>
        <v>48.314500000000002</v>
      </c>
      <c r="H17" s="386">
        <v>74.33</v>
      </c>
      <c r="I17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17" s="258" t="b">
        <f>IF(E17="Excelência",
   IF(Tabela746[[#This Row],[TCC 2024 (N)]]&gt;=Tabela746[[#This Row],[TCC 2023(n)]],1,
      IF(Tabela746[[#This Row],[TCC 2024 (N)]]&gt;=C11,0.9,
         IF(AND(Tabela746[[#This Row],[TCC 2024 (N)]]&lt;C11, Tabela746[[#This Row],[TCC 2024 (N)]]&gt;C14),0.85,
            IF(AND(Tabela746[[#This Row],[TCC 2024 (N)]]&lt;C14, Tabela746[[#This Row],[TCC 2024 (N)]]&gt;=C13),0.8,
              IF(AND(Tabela746[[#This Row],[TCC 2024 (N)]]&lt;C13, Tabela746[[#This Row],[TCC 2024 (N)]]&gt;=C7),0.7, FALSE))))) )</f>
        <v>0</v>
      </c>
      <c r="K17" s="258" t="str">
        <f>IF(E17="Intermediário", MAX(0, MIN(1, (Tabela746[[#This Row],[TCC 2024 (N)]]-Tabela746[[#This Row],[Linha de Base 2024 (N) ]])/(Tabela746[[#This Row],[Meta 2024 (N)]]-Tabela746[[#This Row],[Linha de Base 2024 (N) ]]))), "FALSO")</f>
        <v>FALSO</v>
      </c>
      <c r="L17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7" s="259">
        <f>SUM(Tabela746[[#This Row],[ICM Atribuído - Grupo 1]:[ICM Atribuído - Grupo 4]])</f>
        <v>1</v>
      </c>
      <c r="N17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7" s="258">
        <f>IF(Tabela746[[#This Row],[APLICANDO FORMULA GRUPO 3 - ENQUADRAMENTO]]&lt;0,0,Tabela746[[#This Row],[APLICANDO FORMULA GRUPO 3 - ENQUADRAMENTO]])</f>
        <v>1</v>
      </c>
    </row>
    <row r="18" spans="1:15">
      <c r="A18" s="385">
        <v>13</v>
      </c>
      <c r="B18" s="409" t="s">
        <v>100</v>
      </c>
      <c r="C18" s="381">
        <v>0.72988379158438399</v>
      </c>
      <c r="D18" s="258">
        <f t="shared" si="0"/>
        <v>72.988379158438406</v>
      </c>
      <c r="E18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8" s="320">
        <v>65.75790621592148</v>
      </c>
      <c r="G18" s="383">
        <f>Tabela746[[#This Row],[Meta 2024 (N)]]*$E$6</f>
        <v>42.993340000000003</v>
      </c>
      <c r="H18" s="386">
        <v>66.143600000000006</v>
      </c>
      <c r="I18" s="258" t="b">
        <f>IF(E18="Referência",
   IF(Tabela746[[#This Row],[TCC 2024 (N)]]&gt;=Tabela746[[#This Row],[TCC 2023(n)]],1,
      IF(Tabela746[[#This Row],[TCC 2024 (N)]]&gt;=C12,0.95,
         IF(AND(Tabela746[[#This Row],[TCC 2024 (N)]]&lt;Tabela746[[#This Row],[TCC 2024]], Tabela746[[#This Row],[TCC 2024 (N)]]&gt;E11),0.85,
            IF(AND(Tabela746[[#This Row],[TCC 2024 (N)]]&lt;E11, Tabela746[[#This Row],[TCC 2024 (N)]]&gt;=C11),0.8, FALSE)
         )
      )
   )
)</f>
        <v>0</v>
      </c>
      <c r="J18" s="258">
        <f>IF(E18="Excelência",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18" s="258" t="str">
        <f>IF(E18="Intermediário", MAX(0, MIN(1, (Tabela746[[#This Row],[TCC 2024 (N)]]-Tabela746[[#This Row],[Linha de Base 2024 (N) ]])/(Tabela746[[#This Row],[Meta 2024 (N)]]-Tabela746[[#This Row],[Linha de Base 2024 (N) ]]))), "FALSO")</f>
        <v>FALSO</v>
      </c>
      <c r="L18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8" s="259">
        <f>SUM(Tabela746[[#This Row],[ICM Atribuído - Grupo 1]:[ICM Atribuído - Grupo 4]])</f>
        <v>1</v>
      </c>
      <c r="N18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8" s="258">
        <f>IF(Tabela746[[#This Row],[APLICANDO FORMULA GRUPO 3 - ENQUADRAMENTO]]&lt;0,0,Tabela746[[#This Row],[APLICANDO FORMULA GRUPO 3 - ENQUADRAMENTO]])</f>
        <v>1</v>
      </c>
    </row>
    <row r="19" spans="1:15">
      <c r="A19" s="380">
        <v>14</v>
      </c>
      <c r="B19" s="408" t="s">
        <v>61</v>
      </c>
      <c r="C19" s="381">
        <v>0.74173607932875663</v>
      </c>
      <c r="D19" s="258">
        <f t="shared" si="0"/>
        <v>74.173607932875669</v>
      </c>
      <c r="E19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9" s="320">
        <v>74.26229508196721</v>
      </c>
      <c r="G19" s="383">
        <f>Tabela746[[#This Row],[Meta 2024 (N)]]*$E$6</f>
        <v>48.430395000000004</v>
      </c>
      <c r="H19" s="386">
        <v>74.508300000000006</v>
      </c>
      <c r="I19" s="258" t="b">
        <f>IF(E19="Referência",
   IF(Tabela746[[#This Row],[TCC 2024 (N)]]&gt;=Tabela746[[#This Row],[TCC 2023(n)]],1,
      IF(Tabela746[[#This Row],[TCC 2024 (N)]]&gt;=C13,0.95,
         IF(AND(Tabela746[[#This Row],[TCC 2024 (N)]]&lt;Tabela746[[#This Row],[TCC 2024]], Tabela746[[#This Row],[TCC 2024 (N)]]&gt;E12),0.85,
            IF(AND(Tabela746[[#This Row],[TCC 2024 (N)]]&lt;E12, Tabela746[[#This Row],[TCC 2024 (N)]]&gt;=C12),0.8, FALSE)
         )
      )
   )
)</f>
        <v>0</v>
      </c>
      <c r="J19" s="258">
        <f>IF(E19="Excelência",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0.9</v>
      </c>
      <c r="K19" s="258" t="str">
        <f>IF(E19="Intermediário", MAX(0, MIN(1, (Tabela746[[#This Row],[TCC 2024 (N)]]-Tabela746[[#This Row],[Linha de Base 2024 (N) ]])/(Tabela746[[#This Row],[Meta 2024 (N)]]-Tabela746[[#This Row],[Linha de Base 2024 (N) ]]))), "FALSO")</f>
        <v>FALSO</v>
      </c>
      <c r="L19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9" s="259">
        <f>SUM(Tabela746[[#This Row],[ICM Atribuído - Grupo 1]:[ICM Atribuído - Grupo 4]])</f>
        <v>0.9</v>
      </c>
      <c r="N19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0.9</v>
      </c>
      <c r="O19" s="258">
        <f>IF(Tabela746[[#This Row],[APLICANDO FORMULA GRUPO 3 - ENQUADRAMENTO]]&lt;0,0,Tabela746[[#This Row],[APLICANDO FORMULA GRUPO 3 - ENQUADRAMENTO]])</f>
        <v>0.9</v>
      </c>
    </row>
    <row r="20" spans="1:15">
      <c r="A20" s="385">
        <v>15</v>
      </c>
      <c r="B20" s="409" t="s">
        <v>38</v>
      </c>
      <c r="C20" s="381">
        <v>0.75878105283911679</v>
      </c>
      <c r="D20" s="258">
        <f t="shared" si="0"/>
        <v>75.87810528391168</v>
      </c>
      <c r="E20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20" s="320">
        <v>75.289919714540588</v>
      </c>
      <c r="G20" s="383">
        <f>Tabela746[[#This Row],[Meta 2024 (N)]]*$E$6</f>
        <v>49.037624999999998</v>
      </c>
      <c r="H20" s="386">
        <v>75.442499999999995</v>
      </c>
      <c r="I20" s="258" t="b">
        <f>IF(E20="Referência",
   IF(Tabela746[[#This Row],[TCC 2024 (N)]]&gt;=Tabela746[[#This Row],[TCC 2023(n)]],1,
      IF(Tabela746[[#This Row],[TCC 2024 (N)]]&gt;=C14,0.95,
         IF(AND(Tabela746[[#This Row],[TCC 2024 (N)]]&lt;Tabela746[[#This Row],[TCC 2024]], Tabela746[[#This Row],[TCC 2024 (N)]]&gt;E13),0.85,
            IF(AND(Tabela746[[#This Row],[TCC 2024 (N)]]&lt;E13, Tabela746[[#This Row],[TCC 2024 (N)]]&gt;=C13),0.8, FALSE)
         )
      )
   )
)</f>
        <v>0</v>
      </c>
      <c r="J20" s="258">
        <f>IF(E20="Excelência",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20" s="258" t="str">
        <f>IF(E20="Intermediário", MAX(0, MIN(1, (Tabela746[[#This Row],[TCC 2024 (N)]]-Tabela746[[#This Row],[Linha de Base 2024 (N) ]])/(Tabela746[[#This Row],[Meta 2024 (N)]]-Tabela746[[#This Row],[Linha de Base 2024 (N) ]]))), "FALSO")</f>
        <v>FALSO</v>
      </c>
      <c r="L20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0" s="259">
        <f>SUM(Tabela746[[#This Row],[ICM Atribuído - Grupo 1]:[ICM Atribuído - Grupo 4]])</f>
        <v>1</v>
      </c>
      <c r="N20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20" s="258">
        <f>IF(Tabela746[[#This Row],[APLICANDO FORMULA GRUPO 3 - ENQUADRAMENTO]]&lt;0,0,Tabela746[[#This Row],[APLICANDO FORMULA GRUPO 3 - ENQUADRAMENTO]])</f>
        <v>1</v>
      </c>
    </row>
    <row r="21" spans="1:15">
      <c r="A21" s="380">
        <v>16</v>
      </c>
      <c r="B21" s="408" t="s">
        <v>188</v>
      </c>
      <c r="C21" s="381">
        <v>0.65915998087242977</v>
      </c>
      <c r="D21" s="258">
        <f t="shared" si="0"/>
        <v>65.915998087242983</v>
      </c>
      <c r="E21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21" s="320">
        <v>61.252446183953033</v>
      </c>
      <c r="G21" s="383">
        <f>Tabela746[[#This Row],[Meta 2024 (N)]]*$E$6</f>
        <v>40.331004999999998</v>
      </c>
      <c r="H21" s="386">
        <v>62.047699999999999</v>
      </c>
      <c r="I21" s="258" t="b">
        <f>IF(E21="Referência",
   IF(Tabela746[[#This Row],[TCC 2024 (N)]]&gt;=Tabela746[[#This Row],[TCC 2023(n)]],1,
      IF(Tabela746[[#This Row],[TCC 2024 (N)]]&gt;=C15,0.95,
         IF(AND(Tabela746[[#This Row],[TCC 2024 (N)]]&lt;Tabela746[[#This Row],[TCC 2024]], Tabela746[[#This Row],[TCC 2024 (N)]]&gt;E14),0.85,
            IF(AND(Tabela746[[#This Row],[TCC 2024 (N)]]&lt;E14, Tabela746[[#This Row],[TCC 2024 (N)]]&gt;=C14),0.8, FALSE)
         )
      )
   )
)</f>
        <v>0</v>
      </c>
      <c r="J21" s="258" t="b">
        <f>IF(E21="Excelência",
   IF(Tabela746[[#This Row],[TCC 2024 (N)]]&gt;=Tabela746[[#This Row],[TCC 2023(n)]],1,
      IF(Tabela746[[#This Row],[TCC 2024 (N)]]&gt;=C15,0.95,
         IF(AND(Tabela746[[#This Row],[TCC 2024 (N)]]&lt;Tabela746[[#This Row],[TCC 2024]], Tabela746[[#This Row],[TCC 2024 (N)]]&gt;E14),0.85,
            IF(AND(Tabela746[[#This Row],[TCC 2024 (N)]]&lt;E14, Tabela746[[#This Row],[TCC 2024 (N)]]&gt;=C14),0.8, FALSE)
         )
      )
   )
)</f>
        <v>0</v>
      </c>
      <c r="K21" s="258">
        <f>IF(E21="Intermediário", MAX(0, MIN(1, (Tabela746[[#This Row],[TCC 2024 (N)]]-Tabela746[[#This Row],[Linha de Base 2024 (N) ]])/(Tabela746[[#This Row],[Meta 2024 (N)]]-Tabela746[[#This Row],[Linha de Base 2024 (N) ]]))), "FALSO")</f>
        <v>1</v>
      </c>
      <c r="L21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1" s="259">
        <f>SUM(Tabela746[[#This Row],[ICM Atribuído - Grupo 1]:[ICM Atribuído - Grupo 4]])</f>
        <v>1</v>
      </c>
      <c r="N21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21" s="258">
        <f>IF(Tabela746[[#This Row],[APLICANDO FORMULA GRUPO 3 - ENQUADRAMENTO]]&lt;0,0,Tabela746[[#This Row],[APLICANDO FORMULA GRUPO 3 - ENQUADRAMENTO]])</f>
        <v>1</v>
      </c>
    </row>
    <row r="22" spans="1:15">
      <c r="A22" s="385">
        <v>17</v>
      </c>
      <c r="B22" s="409" t="s">
        <v>69</v>
      </c>
      <c r="C22" s="381">
        <v>0.73642653642653644</v>
      </c>
      <c r="D22" s="258">
        <f t="shared" si="0"/>
        <v>73.642653642653642</v>
      </c>
      <c r="E22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22" s="320">
        <v>72.525252525252526</v>
      </c>
      <c r="G22" s="383">
        <f>Tabela746[[#This Row],[Meta 2024 (N)]]*$E$6</f>
        <v>47.403979999999997</v>
      </c>
      <c r="H22" s="386">
        <v>72.929199999999994</v>
      </c>
      <c r="I22" s="258" t="b">
        <f>IF(E22="Referência",
   IF(Tabela746[[#This Row],[TCC 2024 (N)]]&gt;=Tabela746[[#This Row],[TCC 2023(n)]],1,
      IF(Tabela746[[#This Row],[TCC 2024 (N)]]&gt;=C16,0.95,
         IF(AND(Tabela746[[#This Row],[TCC 2024 (N)]]&lt;Tabela746[[#This Row],[TCC 2024]], Tabela746[[#This Row],[TCC 2024 (N)]]&gt;E15),0.85,
            IF(AND(Tabela746[[#This Row],[TCC 2024 (N)]]&lt;E15, Tabela746[[#This Row],[TCC 2024 (N)]]&gt;=C15),0.8, FALSE)
         )
      )
   )
)</f>
        <v>0</v>
      </c>
      <c r="J22" s="258">
        <f>IF(E22="Excelência",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22" s="258" t="str">
        <f>IF(E22="Intermediário", MAX(0, MIN(1, (Tabela746[[#This Row],[TCC 2024 (N)]]-Tabela746[[#This Row],[Linha de Base 2024 (N) ]])/(Tabela746[[#This Row],[Meta 2024 (N)]]-Tabela746[[#This Row],[Linha de Base 2024 (N) ]]))), "FALSO")</f>
        <v>FALSO</v>
      </c>
      <c r="L22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2" s="259">
        <f>SUM(Tabela746[[#This Row],[ICM Atribuído - Grupo 1]:[ICM Atribuído - Grupo 4]])</f>
        <v>1</v>
      </c>
      <c r="N22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22" s="258">
        <f>IF(Tabela746[[#This Row],[APLICANDO FORMULA GRUPO 3 - ENQUADRAMENTO]]&lt;0,0,Tabela746[[#This Row],[APLICANDO FORMULA GRUPO 3 - ENQUADRAMENTO]])</f>
        <v>1</v>
      </c>
    </row>
    <row r="23" spans="1:15">
      <c r="A23" s="380">
        <v>18</v>
      </c>
      <c r="B23" s="408" t="s">
        <v>43</v>
      </c>
      <c r="C23" s="381">
        <v>0.64879147137211657</v>
      </c>
      <c r="D23" s="258">
        <f t="shared" si="0"/>
        <v>64.87914713721166</v>
      </c>
      <c r="E23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23" s="320">
        <v>63.727454909819635</v>
      </c>
      <c r="G23" s="383">
        <f>Tabela746[[#This Row],[Meta 2024 (N)]]*$E$6</f>
        <v>41.793505000000003</v>
      </c>
      <c r="H23" s="386">
        <v>64.297700000000006</v>
      </c>
      <c r="I23" s="258" t="b">
        <f>IF(E23="Referência",
   IF(Tabela746[[#This Row],[TCC 2024 (N)]]&gt;=Tabela746[[#This Row],[TCC 2023(n)]],1,
      IF(Tabela746[[#This Row],[TCC 2024 (N)]]&gt;=C17,0.95,
         IF(AND(Tabela746[[#This Row],[TCC 2024 (N)]]&lt;Tabela746[[#This Row],[TCC 2024]], Tabela746[[#This Row],[TCC 2024 (N)]]&gt;E16),0.85,
            IF(AND(Tabela746[[#This Row],[TCC 2024 (N)]]&lt;E16, Tabela746[[#This Row],[TCC 2024 (N)]]&gt;=C16),0.8, FALSE)
         )
      )
   )
)</f>
        <v>0</v>
      </c>
      <c r="J23" s="258" t="b">
        <f>IF(E23="Excelência",
   IF(Tabela746[[#This Row],[TCC 2024 (N)]]&gt;=Tabela746[[#This Row],[TCC 2023(n)]],1,
      IF(Tabela746[[#This Row],[TCC 2024 (N)]]&gt;=C17,0.95,
         IF(AND(Tabela746[[#This Row],[TCC 2024 (N)]]&lt;Tabela746[[#This Row],[TCC 2024]], Tabela746[[#This Row],[TCC 2024 (N)]]&gt;E16),0.85,
            IF(AND(Tabela746[[#This Row],[TCC 2024 (N)]]&lt;E16, Tabela746[[#This Row],[TCC 2024 (N)]]&gt;=C16),0.8, FALSE)
         )
      )
   )
)</f>
        <v>0</v>
      </c>
      <c r="K23" s="258">
        <f>IF(E23="Intermediário", MAX(0, MIN(1, (Tabela746[[#This Row],[TCC 2024 (N)]]-Tabela746[[#This Row],[Linha de Base 2024 (N) ]])/(Tabela746[[#This Row],[Meta 2024 (N)]]-Tabela746[[#This Row],[Linha de Base 2024 (N) ]]))), "FALSO")</f>
        <v>1</v>
      </c>
      <c r="L23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3" s="259">
        <f>SUM(Tabela746[[#This Row],[ICM Atribuído - Grupo 1]:[ICM Atribuído - Grupo 4]])</f>
        <v>1</v>
      </c>
      <c r="N23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23" s="258">
        <f>IF(Tabela746[[#This Row],[APLICANDO FORMULA GRUPO 3 - ENQUADRAMENTO]]&lt;0,0,Tabela746[[#This Row],[APLICANDO FORMULA GRUPO 3 - ENQUADRAMENTO]])</f>
        <v>1</v>
      </c>
    </row>
    <row r="24" spans="1:15">
      <c r="A24" s="385">
        <v>19</v>
      </c>
      <c r="B24" s="409" t="s">
        <v>149</v>
      </c>
      <c r="C24" s="381">
        <v>0.67416666666666658</v>
      </c>
      <c r="D24" s="258">
        <f t="shared" si="0"/>
        <v>67.416666666666657</v>
      </c>
      <c r="E24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24" s="320">
        <v>68.411552346570389</v>
      </c>
      <c r="G24" s="383">
        <f>Tabela746[[#This Row],[Meta 2024 (N)]]*$E$6</f>
        <v>44.561399999999999</v>
      </c>
      <c r="H24" s="386">
        <v>68.555999999999997</v>
      </c>
      <c r="I24" s="258" t="b">
        <f>IF(E24="Referência",
   IF(Tabela746[[#This Row],[TCC 2024 (N)]]&gt;=Tabela746[[#This Row],[TCC 2023(n)]],1,
      IF(Tabela746[[#This Row],[TCC 2024 (N)]]&gt;=C18,0.95,
         IF(AND(Tabela746[[#This Row],[TCC 2024 (N)]]&lt;Tabela746[[#This Row],[TCC 2024]], Tabela746[[#This Row],[TCC 2024 (N)]]&gt;E17),0.85,
            IF(AND(Tabela746[[#This Row],[TCC 2024 (N)]]&lt;E17, Tabela746[[#This Row],[TCC 2024 (N)]]&gt;=C17),0.8, FALSE)
         )
      )
   )
)</f>
        <v>0</v>
      </c>
      <c r="J24" s="258" t="b">
        <f>IF(E24="Excelência",
   IF(Tabela746[[#This Row],[TCC 2024 (N)]]&gt;=Tabela746[[#This Row],[TCC 2023(n)]],1,
      IF(Tabela746[[#This Row],[TCC 2024 (N)]]&gt;=C18,0.95,
         IF(AND(Tabela746[[#This Row],[TCC 2024 (N)]]&lt;Tabela746[[#This Row],[TCC 2024]], Tabela746[[#This Row],[TCC 2024 (N)]]&gt;E17),0.85,
            IF(AND(Tabela746[[#This Row],[TCC 2024 (N)]]&lt;E17, Tabela746[[#This Row],[TCC 2024 (N)]]&gt;=C17),0.8, FALSE)
         )
      )
   )
)</f>
        <v>0</v>
      </c>
      <c r="K24" s="258">
        <f>IF(E24="Intermediário", MAX(0, MIN(1, (Tabela746[[#This Row],[TCC 2024 (N)]]-Tabela746[[#This Row],[Linha de Base 2024 (N) ]])/(Tabela746[[#This Row],[Meta 2024 (N)]]-Tabela746[[#This Row],[Linha de Base 2024 (N) ]]))), "FALSO")</f>
        <v>0.95251709412395535</v>
      </c>
      <c r="L24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4" s="259">
        <f>SUM(Tabela746[[#This Row],[ICM Atribuído - Grupo 1]:[ICM Atribuído - Grupo 4]])</f>
        <v>0.95251709412395535</v>
      </c>
      <c r="N24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24" s="258">
        <f>IF(Tabela746[[#This Row],[APLICANDO FORMULA GRUPO 3 - ENQUADRAMENTO]]&lt;0,0,Tabela746[[#This Row],[APLICANDO FORMULA GRUPO 3 - ENQUADRAMENTO]])</f>
        <v>1</v>
      </c>
    </row>
    <row r="25" spans="1:15">
      <c r="A25" s="380">
        <v>23</v>
      </c>
      <c r="B25" s="408" t="s">
        <v>79</v>
      </c>
      <c r="C25" s="381">
        <v>0.74453869393446426</v>
      </c>
      <c r="D25" s="258">
        <f t="shared" si="0"/>
        <v>74.453869393446425</v>
      </c>
      <c r="E25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25" s="320">
        <v>71.115973741794321</v>
      </c>
      <c r="G25" s="383">
        <f>Tabela746[[#This Row],[Meta 2024 (N)]]*$E$6</f>
        <v>46.571199999999997</v>
      </c>
      <c r="H25" s="386">
        <v>71.647999999999996</v>
      </c>
      <c r="I25" s="258" t="b">
        <f>IF(E25="Referência",
   IF(Tabela746[[#This Row],[TCC 2024 (N)]]&gt;=Tabela746[[#This Row],[TCC 2023(n)]],1,
      IF(Tabela746[[#This Row],[TCC 2024 (N)]]&gt;=C19,0.95,
         IF(AND(Tabela746[[#This Row],[TCC 2024 (N)]]&lt;Tabela746[[#This Row],[TCC 2024]], Tabela746[[#This Row],[TCC 2024 (N)]]&gt;E18),0.85,
            IF(AND(Tabela746[[#This Row],[TCC 2024 (N)]]&lt;E18, Tabela746[[#This Row],[TCC 2024 (N)]]&gt;=C18),0.8, FALSE)
         )
      )
   )
)</f>
        <v>0</v>
      </c>
      <c r="J25" s="258">
        <f>IF(E25="Excelência",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25" s="258" t="str">
        <f>IF(E25="Intermediário", MAX(0, MIN(1, (Tabela746[[#This Row],[TCC 2024 (N)]]-Tabela746[[#This Row],[Linha de Base 2024 (N) ]])/(Tabela746[[#This Row],[Meta 2024 (N)]]-Tabela746[[#This Row],[Linha de Base 2024 (N) ]]))), "FALSO")</f>
        <v>FALSO</v>
      </c>
      <c r="L25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5" s="259">
        <f>SUM(Tabela746[[#This Row],[ICM Atribuído - Grupo 1]:[ICM Atribuído - Grupo 4]])</f>
        <v>1</v>
      </c>
      <c r="N25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25" s="258">
        <f>IF(Tabela746[[#This Row],[APLICANDO FORMULA GRUPO 3 - ENQUADRAMENTO]]&lt;0,0,Tabela746[[#This Row],[APLICANDO FORMULA GRUPO 3 - ENQUADRAMENTO]])</f>
        <v>1</v>
      </c>
    </row>
    <row r="26" spans="1:15">
      <c r="A26" s="385">
        <v>24</v>
      </c>
      <c r="B26" s="409" t="s">
        <v>96</v>
      </c>
      <c r="C26" s="381">
        <v>0.66961348684210531</v>
      </c>
      <c r="D26" s="258">
        <f t="shared" si="0"/>
        <v>66.961348684210535</v>
      </c>
      <c r="E26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26" s="320">
        <v>72.727272727272734</v>
      </c>
      <c r="G26" s="383">
        <f>Tabela746[[#This Row],[Meta 2024 (N)]]*$E$6</f>
        <v>47.523319999999998</v>
      </c>
      <c r="H26" s="386">
        <v>73.112799999999993</v>
      </c>
      <c r="I26" s="258" t="b">
        <f>IF(E26="Referência",
   IF(Tabela746[[#This Row],[TCC 2024 (N)]]&gt;=Tabela746[[#This Row],[TCC 2023(n)]],1,
      IF(Tabela746[[#This Row],[TCC 2024 (N)]]&gt;=C20,0.95,
         IF(AND(Tabela746[[#This Row],[TCC 2024 (N)]]&lt;Tabela746[[#This Row],[TCC 2024]], Tabela746[[#This Row],[TCC 2024 (N)]]&gt;E19),0.85,
            IF(AND(Tabela746[[#This Row],[TCC 2024 (N)]]&lt;E19, Tabela746[[#This Row],[TCC 2024 (N)]]&gt;=C19),0.8, FALSE)
         )
      )
   )
)</f>
        <v>0</v>
      </c>
      <c r="J26" s="258" t="b">
        <f>IF(E26="Excelência",
   IF(Tabela746[[#This Row],[TCC 2024 (N)]]&gt;=Tabela746[[#This Row],[TCC 2023(n)]],1,
      IF(Tabela746[[#This Row],[TCC 2024 (N)]]&gt;=C20,0.95,
         IF(AND(Tabela746[[#This Row],[TCC 2024 (N)]]&lt;Tabela746[[#This Row],[TCC 2024]], Tabela746[[#This Row],[TCC 2024 (N)]]&gt;E19),0.85,
            IF(AND(Tabela746[[#This Row],[TCC 2024 (N)]]&lt;E19, Tabela746[[#This Row],[TCC 2024 (N)]]&gt;=C19),0.8, FALSE)
         )
      )
   )
)</f>
        <v>0</v>
      </c>
      <c r="K26" s="258">
        <f>IF(E26="Intermediário", MAX(0, MIN(1, (Tabela746[[#This Row],[TCC 2024 (N)]]-Tabela746[[#This Row],[Linha de Base 2024 (N) ]])/(Tabela746[[#This Row],[Meta 2024 (N)]]-Tabela746[[#This Row],[Linha de Base 2024 (N) ]]))), "FALSO")</f>
        <v>0.75961014777207436</v>
      </c>
      <c r="L26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6" s="259">
        <f>SUM(Tabela746[[#This Row],[ICM Atribuído - Grupo 1]:[ICM Atribuído - Grupo 4]])</f>
        <v>0.75961014777207436</v>
      </c>
      <c r="N26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26" s="258">
        <f>IF(Tabela746[[#This Row],[APLICANDO FORMULA GRUPO 3 - ENQUADRAMENTO]]&lt;0,0,Tabela746[[#This Row],[APLICANDO FORMULA GRUPO 3 - ENQUADRAMENTO]])</f>
        <v>1</v>
      </c>
    </row>
    <row r="27" spans="1:15">
      <c r="A27" s="380">
        <v>25</v>
      </c>
      <c r="B27" s="408" t="s">
        <v>29</v>
      </c>
      <c r="C27" s="381">
        <v>0.74192442005487647</v>
      </c>
      <c r="D27" s="258">
        <f t="shared" si="0"/>
        <v>74.192442005487649</v>
      </c>
      <c r="E27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27" s="320">
        <v>76.756756756756758</v>
      </c>
      <c r="G27" s="383">
        <f>Tabela746[[#This Row],[Meta 2024 (N)]]*$E$6</f>
        <v>49.904400000000003</v>
      </c>
      <c r="H27" s="386">
        <v>76.775999999999996</v>
      </c>
      <c r="I27" s="258" t="b">
        <f>IF(E27="Referência",
   IF(Tabela746[[#This Row],[TCC 2024 (N)]]&gt;=Tabela746[[#This Row],[TCC 2023(n)]],1,
      IF(Tabela746[[#This Row],[TCC 2024 (N)]]&gt;=C21,0.95,
         IF(AND(Tabela746[[#This Row],[TCC 2024 (N)]]&lt;Tabela746[[#This Row],[TCC 2024]], Tabela746[[#This Row],[TCC 2024 (N)]]&gt;E20),0.85,
            IF(AND(Tabela746[[#This Row],[TCC 2024 (N)]]&lt;E20, Tabela746[[#This Row],[TCC 2024 (N)]]&gt;=C20),0.8, FALSE)
         )
      )
   )
)</f>
        <v>0</v>
      </c>
      <c r="J27" s="258">
        <f>IF(E27="Excelência",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0.9</v>
      </c>
      <c r="K27" s="258" t="str">
        <f>IF(E27="Intermediário", MAX(0, MIN(1, (Tabela746[[#This Row],[TCC 2024 (N)]]-Tabela746[[#This Row],[Linha de Base 2024 (N) ]])/(Tabela746[[#This Row],[Meta 2024 (N)]]-Tabela746[[#This Row],[Linha de Base 2024 (N) ]]))), "FALSO")</f>
        <v>FALSO</v>
      </c>
      <c r="L27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7" s="259">
        <f>SUM(Tabela746[[#This Row],[ICM Atribuído - Grupo 1]:[ICM Atribuído - Grupo 4]])</f>
        <v>0.9</v>
      </c>
      <c r="N27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0.9</v>
      </c>
      <c r="O27" s="258">
        <f>IF(Tabela746[[#This Row],[APLICANDO FORMULA GRUPO 3 - ENQUADRAMENTO]]&lt;0,0,Tabela746[[#This Row],[APLICANDO FORMULA GRUPO 3 - ENQUADRAMENTO]])</f>
        <v>0.9</v>
      </c>
    </row>
    <row r="28" spans="1:15">
      <c r="A28" s="385">
        <v>26</v>
      </c>
      <c r="B28" s="409" t="s">
        <v>55</v>
      </c>
      <c r="C28" s="381">
        <v>0.70337078651685392</v>
      </c>
      <c r="D28" s="258">
        <f t="shared" si="0"/>
        <v>70.337078651685388</v>
      </c>
      <c r="E28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28" s="320">
        <v>79.875195007800315</v>
      </c>
      <c r="G28" s="383">
        <f>Tabela746[[#This Row],[Meta 2024 (N)]]*$E$6</f>
        <v>52.738725000000002</v>
      </c>
      <c r="H28" s="386">
        <v>81.136499999999998</v>
      </c>
      <c r="I28" s="258" t="b">
        <f>IF(E28="Referência",
   IF(Tabela746[[#This Row],[TCC 2024 (N)]]&gt;=Tabela746[[#This Row],[TCC 2023(n)]],1,
      IF(Tabela746[[#This Row],[TCC 2024 (N)]]&gt;=C22,0.95,
         IF(AND(Tabela746[[#This Row],[TCC 2024 (N)]]&lt;Tabela746[[#This Row],[TCC 2024]], Tabela746[[#This Row],[TCC 2024 (N)]]&gt;E21),0.85,
            IF(AND(Tabela746[[#This Row],[TCC 2024 (N)]]&lt;E21, Tabela746[[#This Row],[TCC 2024 (N)]]&gt;=C21),0.8, FALSE)
         )
      )
   )
)</f>
        <v>0</v>
      </c>
      <c r="J28" s="258">
        <f>IF(E28="Excelência",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0.7</v>
      </c>
      <c r="K28" s="258" t="str">
        <f>IF(E28="Intermediário", MAX(0, MIN(1, (Tabela746[[#This Row],[TCC 2024 (N)]]-Tabela746[[#This Row],[Linha de Base 2024 (N) ]])/(Tabela746[[#This Row],[Meta 2024 (N)]]-Tabela746[[#This Row],[Linha de Base 2024 (N) ]]))), "FALSO")</f>
        <v>FALSO</v>
      </c>
      <c r="L28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8" s="259">
        <f>SUM(Tabela746[[#This Row],[ICM Atribuído - Grupo 1]:[ICM Atribuído - Grupo 4]])</f>
        <v>0.7</v>
      </c>
      <c r="N28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0.7</v>
      </c>
      <c r="O28" s="258">
        <f>IF(Tabela746[[#This Row],[APLICANDO FORMULA GRUPO 3 - ENQUADRAMENTO]]&lt;0,0,Tabela746[[#This Row],[APLICANDO FORMULA GRUPO 3 - ENQUADRAMENTO]])</f>
        <v>0.7</v>
      </c>
    </row>
    <row r="29" spans="1:15">
      <c r="A29" s="380">
        <v>27</v>
      </c>
      <c r="B29" s="408" t="s">
        <v>155</v>
      </c>
      <c r="C29" s="381">
        <v>0.62206632653061222</v>
      </c>
      <c r="D29" s="258">
        <f t="shared" si="0"/>
        <v>62.20663265306122</v>
      </c>
      <c r="E29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29" s="320">
        <v>61</v>
      </c>
      <c r="G29" s="383">
        <f>Tabela746[[#This Row],[Meta 2024 (N)]]*$E$6</f>
        <v>40.181829999999998</v>
      </c>
      <c r="H29" s="386">
        <v>61.818199999999997</v>
      </c>
      <c r="I29" s="258" t="b">
        <f>IF(E29="Referência",
   IF(Tabela746[[#This Row],[TCC 2024 (N)]]&gt;=Tabela746[[#This Row],[TCC 2023(n)]],1,
      IF(Tabela746[[#This Row],[TCC 2024 (N)]]&gt;=C23,0.95,
         IF(AND(Tabela746[[#This Row],[TCC 2024 (N)]]&lt;Tabela746[[#This Row],[TCC 2024]], Tabela746[[#This Row],[TCC 2024 (N)]]&gt;E22),0.85,
            IF(AND(Tabela746[[#This Row],[TCC 2024 (N)]]&lt;E22, Tabela746[[#This Row],[TCC 2024 (N)]]&gt;=C22),0.8, FALSE)
         )
      )
   )
)</f>
        <v>0</v>
      </c>
      <c r="J29" s="258" t="b">
        <f>IF(E29="Excelência",
   IF(Tabela746[[#This Row],[TCC 2024 (N)]]&gt;=Tabela746[[#This Row],[TCC 2023(n)]],1,
      IF(Tabela746[[#This Row],[TCC 2024 (N)]]&gt;=C23,0.95,
         IF(AND(Tabela746[[#This Row],[TCC 2024 (N)]]&lt;Tabela746[[#This Row],[TCC 2024]], Tabela746[[#This Row],[TCC 2024 (N)]]&gt;E22),0.85,
            IF(AND(Tabela746[[#This Row],[TCC 2024 (N)]]&lt;E22, Tabela746[[#This Row],[TCC 2024 (N)]]&gt;=C22),0.8, FALSE)
         )
      )
   )
)</f>
        <v>0</v>
      </c>
      <c r="K29" s="258">
        <f>IF(E29="Intermediário", MAX(0, MIN(1, (Tabela746[[#This Row],[TCC 2024 (N)]]-Tabela746[[#This Row],[Linha de Base 2024 (N) ]])/(Tabela746[[#This Row],[Meta 2024 (N)]]-Tabela746[[#This Row],[Linha de Base 2024 (N) ]]))), "FALSO")</f>
        <v>1</v>
      </c>
      <c r="L29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9" s="259">
        <f>SUM(Tabela746[[#This Row],[ICM Atribuído - Grupo 1]:[ICM Atribuído - Grupo 4]])</f>
        <v>1</v>
      </c>
      <c r="N29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29" s="258">
        <f>IF(Tabela746[[#This Row],[APLICANDO FORMULA GRUPO 3 - ENQUADRAMENTO]]&lt;0,0,Tabela746[[#This Row],[APLICANDO FORMULA GRUPO 3 - ENQUADRAMENTO]])</f>
        <v>1</v>
      </c>
    </row>
    <row r="30" spans="1:15">
      <c r="A30" s="385">
        <v>28</v>
      </c>
      <c r="B30" s="409" t="s">
        <v>27</v>
      </c>
      <c r="C30" s="381">
        <v>0.64313186813186818</v>
      </c>
      <c r="D30" s="258">
        <f t="shared" si="0"/>
        <v>64.313186813186817</v>
      </c>
      <c r="E30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30" s="320">
        <v>60</v>
      </c>
      <c r="G30" s="383">
        <f>Tabela746[[#This Row],[Meta 2024 (N)]]*$E$6</f>
        <v>39.590915000000003</v>
      </c>
      <c r="H30" s="386">
        <v>60.909100000000002</v>
      </c>
      <c r="I30" s="258" t="b">
        <f>IF(E30="Referência",
   IF(Tabela746[[#This Row],[TCC 2024 (N)]]&gt;=Tabela746[[#This Row],[TCC 2023(n)]],1,
      IF(Tabela746[[#This Row],[TCC 2024 (N)]]&gt;=C24,0.95,
         IF(AND(Tabela746[[#This Row],[TCC 2024 (N)]]&lt;Tabela746[[#This Row],[TCC 2024]], Tabela746[[#This Row],[TCC 2024 (N)]]&gt;E23),0.85,
            IF(AND(Tabela746[[#This Row],[TCC 2024 (N)]]&lt;E23, Tabela746[[#This Row],[TCC 2024 (N)]]&gt;=C23),0.8, FALSE)
         )
      )
   )
)</f>
        <v>0</v>
      </c>
      <c r="J30" s="258" t="b">
        <f>IF(E30="Excelência",
   IF(Tabela746[[#This Row],[TCC 2024 (N)]]&gt;=Tabela746[[#This Row],[TCC 2023(n)]],1,
      IF(Tabela746[[#This Row],[TCC 2024 (N)]]&gt;=C24,0.95,
         IF(AND(Tabela746[[#This Row],[TCC 2024 (N)]]&lt;Tabela746[[#This Row],[TCC 2024]], Tabela746[[#This Row],[TCC 2024 (N)]]&gt;E23),0.85,
            IF(AND(Tabela746[[#This Row],[TCC 2024 (N)]]&lt;E23, Tabela746[[#This Row],[TCC 2024 (N)]]&gt;=C23),0.8, FALSE)
         )
      )
   )
)</f>
        <v>0</v>
      </c>
      <c r="K30" s="258">
        <f>IF(E30="Intermediário", MAX(0, MIN(1, (Tabela746[[#This Row],[TCC 2024 (N)]]-Tabela746[[#This Row],[Linha de Base 2024 (N) ]])/(Tabela746[[#This Row],[Meta 2024 (N)]]-Tabela746[[#This Row],[Linha de Base 2024 (N) ]]))), "FALSO")</f>
        <v>1</v>
      </c>
      <c r="L30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30" s="259">
        <f>SUM(Tabela746[[#This Row],[ICM Atribuído - Grupo 1]:[ICM Atribuído - Grupo 4]])</f>
        <v>1</v>
      </c>
      <c r="N30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30" s="258">
        <f>IF(Tabela746[[#This Row],[APLICANDO FORMULA GRUPO 3 - ENQUADRAMENTO]]&lt;0,0,Tabela746[[#This Row],[APLICANDO FORMULA GRUPO 3 - ENQUADRAMENTO]])</f>
        <v>1</v>
      </c>
    </row>
    <row r="31" spans="1:15">
      <c r="A31" s="380">
        <v>29</v>
      </c>
      <c r="B31" s="408" t="s">
        <v>182</v>
      </c>
      <c r="C31" s="381">
        <v>0.69880534995455135</v>
      </c>
      <c r="D31" s="258">
        <f t="shared" si="0"/>
        <v>69.880534995455136</v>
      </c>
      <c r="E31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31" s="320">
        <v>66.988950276243102</v>
      </c>
      <c r="G31" s="383">
        <f>Tabela746[[#This Row],[Meta 2024 (N)]]*$E$6</f>
        <v>43.720754999999997</v>
      </c>
      <c r="H31" s="386">
        <v>67.262699999999995</v>
      </c>
      <c r="I31" s="258" t="b">
        <f>IF(E31="Referência",
   IF(Tabela746[[#This Row],[TCC 2024 (N)]]&gt;=Tabela746[[#This Row],[TCC 2023(n)]],1,
      IF(Tabela746[[#This Row],[TCC 2024 (N)]]&gt;=C25,0.95,
         IF(AND(Tabela746[[#This Row],[TCC 2024 (N)]]&lt;Tabela746[[#This Row],[TCC 2024]], Tabela746[[#This Row],[TCC 2024 (N)]]&gt;E24),0.85,
            IF(AND(Tabela746[[#This Row],[TCC 2024 (N)]]&lt;E24, Tabela746[[#This Row],[TCC 2024 (N)]]&gt;=C24),0.8, FALSE)
         )
      )
   )
)</f>
        <v>0</v>
      </c>
      <c r="J31" s="258" t="b">
        <f>IF(E31="Excelência",
   IF(Tabela746[[#This Row],[TCC 2024 (N)]]&gt;=Tabela746[[#This Row],[TCC 2023(n)]],1,
      IF(Tabela746[[#This Row],[TCC 2024 (N)]]&gt;=C25,0.95,
         IF(AND(Tabela746[[#This Row],[TCC 2024 (N)]]&lt;Tabela746[[#This Row],[TCC 2024]], Tabela746[[#This Row],[TCC 2024 (N)]]&gt;E24),0.85,
            IF(AND(Tabela746[[#This Row],[TCC 2024 (N)]]&lt;E24, Tabela746[[#This Row],[TCC 2024 (N)]]&gt;=C24),0.8, FALSE)
         )
      )
   )
)</f>
        <v>0</v>
      </c>
      <c r="K31" s="258">
        <f>IF(E31="Intermediário", MAX(0, MIN(1, (Tabela746[[#This Row],[TCC 2024 (N)]]-Tabela746[[#This Row],[Linha de Base 2024 (N) ]])/(Tabela746[[#This Row],[Meta 2024 (N)]]-Tabela746[[#This Row],[Linha de Base 2024 (N) ]]))), "FALSO")</f>
        <v>1</v>
      </c>
      <c r="L31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31" s="259">
        <f>SUM(Tabela746[[#This Row],[ICM Atribuído - Grupo 1]:[ICM Atribuído - Grupo 4]])</f>
        <v>1</v>
      </c>
      <c r="N31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31" s="258">
        <f>IF(Tabela746[[#This Row],[APLICANDO FORMULA GRUPO 3 - ENQUADRAMENTO]]&lt;0,0,Tabela746[[#This Row],[APLICANDO FORMULA GRUPO 3 - ENQUADRAMENTO]])</f>
        <v>1</v>
      </c>
    </row>
    <row r="32" spans="1:15">
      <c r="A32" s="385">
        <v>30</v>
      </c>
      <c r="B32" s="409" t="s">
        <v>163</v>
      </c>
      <c r="C32" s="381">
        <v>0.66511127063890885</v>
      </c>
      <c r="D32" s="258">
        <f t="shared" si="0"/>
        <v>66.511127063890882</v>
      </c>
      <c r="E32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32" s="320">
        <v>71.062271062271066</v>
      </c>
      <c r="G32" s="383">
        <f>Tabela746[[#This Row],[Meta 2024 (N)]]*$E$6</f>
        <v>46.539479999999998</v>
      </c>
      <c r="H32" s="386">
        <v>71.599199999999996</v>
      </c>
      <c r="I32" s="258" t="b">
        <f>IF(E32="Referência",
   IF(Tabela746[[#This Row],[TCC 2024 (N)]]&gt;=Tabela746[[#This Row],[TCC 2023(n)]],1,
      IF(Tabela746[[#This Row],[TCC 2024 (N)]]&gt;=C26,0.95,
         IF(AND(Tabela746[[#This Row],[TCC 2024 (N)]]&lt;Tabela746[[#This Row],[TCC 2024]], Tabela746[[#This Row],[TCC 2024 (N)]]&gt;E25),0.85,
            IF(AND(Tabela746[[#This Row],[TCC 2024 (N)]]&lt;E25, Tabela746[[#This Row],[TCC 2024 (N)]]&gt;=C25),0.8, FALSE)
         )
      )
   )
)</f>
        <v>0</v>
      </c>
      <c r="J32" s="258" t="b">
        <f>IF(E32="Excelência",
   IF(Tabela746[[#This Row],[TCC 2024 (N)]]&gt;=Tabela746[[#This Row],[TCC 2023(n)]],1,
      IF(Tabela746[[#This Row],[TCC 2024 (N)]]&gt;=C26,0.95,
         IF(AND(Tabela746[[#This Row],[TCC 2024 (N)]]&lt;Tabela746[[#This Row],[TCC 2024]], Tabela746[[#This Row],[TCC 2024 (N)]]&gt;E25),0.85,
            IF(AND(Tabela746[[#This Row],[TCC 2024 (N)]]&lt;E25, Tabela746[[#This Row],[TCC 2024 (N)]]&gt;=C25),0.8, FALSE)
         )
      )
   )
)</f>
        <v>0</v>
      </c>
      <c r="K32" s="258">
        <f>IF(E32="Intermediário", MAX(0, MIN(1, (Tabela746[[#This Row],[TCC 2024 (N)]]-Tabela746[[#This Row],[Linha de Base 2024 (N) ]])/(Tabela746[[#This Row],[Meta 2024 (N)]]-Tabela746[[#This Row],[Linha de Base 2024 (N) ]]))), "FALSO")</f>
        <v>0.79696209949236807</v>
      </c>
      <c r="L32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32" s="259">
        <f>SUM(Tabela746[[#This Row],[ICM Atribuído - Grupo 1]:[ICM Atribuído - Grupo 4]])</f>
        <v>0.79696209949236807</v>
      </c>
      <c r="N32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32" s="258">
        <f>IF(Tabela746[[#This Row],[APLICANDO FORMULA GRUPO 3 - ENQUADRAMENTO]]&lt;0,0,Tabela746[[#This Row],[APLICANDO FORMULA GRUPO 3 - ENQUADRAMENTO]])</f>
        <v>1</v>
      </c>
    </row>
    <row r="33" spans="1:15">
      <c r="A33" s="380">
        <v>31</v>
      </c>
      <c r="B33" s="408" t="s">
        <v>119</v>
      </c>
      <c r="C33" s="381">
        <v>0.64745739970481686</v>
      </c>
      <c r="D33" s="258">
        <f t="shared" si="0"/>
        <v>64.745739970481679</v>
      </c>
      <c r="E33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33" s="320">
        <v>77.74566473988439</v>
      </c>
      <c r="G33" s="383">
        <f>Tabela746[[#This Row],[Meta 2024 (N)]]*$E$6</f>
        <v>51.48039</v>
      </c>
      <c r="H33" s="386">
        <v>79.200599999999994</v>
      </c>
      <c r="I33" s="258" t="b">
        <f>IF(E33="Referência",
   IF(Tabela746[[#This Row],[TCC 2024 (N)]]&gt;=Tabela746[[#This Row],[TCC 2023(n)]],1,
      IF(Tabela746[[#This Row],[TCC 2024 (N)]]&gt;=C27,0.95,
         IF(AND(Tabela746[[#This Row],[TCC 2024 (N)]]&lt;Tabela746[[#This Row],[TCC 2024]], Tabela746[[#This Row],[TCC 2024 (N)]]&gt;E26),0.85,
            IF(AND(Tabela746[[#This Row],[TCC 2024 (N)]]&lt;E26, Tabela746[[#This Row],[TCC 2024 (N)]]&gt;=C26),0.8, FALSE)
         )
      )
   )
)</f>
        <v>0</v>
      </c>
      <c r="J33" s="258" t="b">
        <f>IF(E33="Excelência",
   IF(Tabela746[[#This Row],[TCC 2024 (N)]]&gt;=Tabela746[[#This Row],[TCC 2023(n)]],1,
      IF(Tabela746[[#This Row],[TCC 2024 (N)]]&gt;=C27,0.95,
         IF(AND(Tabela746[[#This Row],[TCC 2024 (N)]]&lt;Tabela746[[#This Row],[TCC 2024]], Tabela746[[#This Row],[TCC 2024 (N)]]&gt;E26),0.85,
            IF(AND(Tabela746[[#This Row],[TCC 2024 (N)]]&lt;E26, Tabela746[[#This Row],[TCC 2024 (N)]]&gt;=C26),0.8, FALSE)
         )
      )
   )
)</f>
        <v>0</v>
      </c>
      <c r="K33" s="258">
        <f>IF(E33="Intermediário", MAX(0, MIN(1, (Tabela746[[#This Row],[TCC 2024 (N)]]-Tabela746[[#This Row],[Linha de Base 2024 (N) ]])/(Tabela746[[#This Row],[Meta 2024 (N)]]-Tabela746[[#This Row],[Linha de Base 2024 (N) ]]))), "FALSO")</f>
        <v>0.47854435339709483</v>
      </c>
      <c r="L33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33" s="259">
        <f>SUM(Tabela746[[#This Row],[ICM Atribuído - Grupo 1]:[ICM Atribuído - Grupo 4]])</f>
        <v>0.47854435339709483</v>
      </c>
      <c r="N33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0.5</v>
      </c>
      <c r="O33" s="258">
        <f>IF(Tabela746[[#This Row],[APLICANDO FORMULA GRUPO 3 - ENQUADRAMENTO]]&lt;0,0,Tabela746[[#This Row],[APLICANDO FORMULA GRUPO 3 - ENQUADRAMENTO]])</f>
        <v>0.5</v>
      </c>
    </row>
    <row r="34" spans="1:15">
      <c r="A34" s="385">
        <v>32</v>
      </c>
      <c r="B34" s="409" t="s">
        <v>222</v>
      </c>
      <c r="C34" s="381">
        <v>0.50903361344537812</v>
      </c>
      <c r="D34" s="258">
        <f t="shared" si="0"/>
        <v>50.903361344537814</v>
      </c>
      <c r="E34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34" s="320">
        <v>41.057934508816118</v>
      </c>
      <c r="G34" s="383">
        <f>Tabela746[[#This Row],[Meta 2024 (N)]]*$E$6</f>
        <v>28.397850000000002</v>
      </c>
      <c r="H34" s="386">
        <v>43.689</v>
      </c>
      <c r="I34" s="258" t="b">
        <f>IF(E34="Referência",
   IF(Tabela746[[#This Row],[TCC 2024 (N)]]&gt;=Tabela746[[#This Row],[TCC 2023(n)]],1,
      IF(Tabela746[[#This Row],[TCC 2024 (N)]]&gt;=C28,0.95,
         IF(AND(Tabela746[[#This Row],[TCC 2024 (N)]]&lt;Tabela746[[#This Row],[TCC 2024]], Tabela746[[#This Row],[TCC 2024 (N)]]&gt;E27),0.85,
            IF(AND(Tabela746[[#This Row],[TCC 2024 (N)]]&lt;E27, Tabela746[[#This Row],[TCC 2024 (N)]]&gt;=C27),0.8, FALSE)
         )
      )
   )
)</f>
        <v>0</v>
      </c>
      <c r="J34" s="258" t="b">
        <f>IF(E34="Excelência",
   IF(Tabela746[[#This Row],[TCC 2024 (N)]]&gt;=Tabela746[[#This Row],[TCC 2023(n)]],1,
      IF(Tabela746[[#This Row],[TCC 2024 (N)]]&gt;=C28,0.95,
         IF(AND(Tabela746[[#This Row],[TCC 2024 (N)]]&lt;Tabela746[[#This Row],[TCC 2024]], Tabela746[[#This Row],[TCC 2024 (N)]]&gt;E27),0.85,
            IF(AND(Tabela746[[#This Row],[TCC 2024 (N)]]&lt;E27, Tabela746[[#This Row],[TCC 2024 (N)]]&gt;=C27),0.8, FALSE)
         )
      )
   )
)</f>
        <v>0</v>
      </c>
      <c r="K34" s="258">
        <f>IF(E34="Intermediário", MAX(0, MIN(1, (Tabela746[[#This Row],[TCC 2024 (N)]]-Tabela746[[#This Row],[Linha de Base 2024 (N) ]])/(Tabela746[[#This Row],[Meta 2024 (N)]]-Tabela746[[#This Row],[Linha de Base 2024 (N) ]]))), "FALSO")</f>
        <v>1</v>
      </c>
      <c r="L34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34" s="259">
        <f>SUM(Tabela746[[#This Row],[ICM Atribuído - Grupo 1]:[ICM Atribuído - Grupo 4]])</f>
        <v>1</v>
      </c>
      <c r="N34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34" s="258">
        <f>IF(Tabela746[[#This Row],[APLICANDO FORMULA GRUPO 3 - ENQUADRAMENTO]]&lt;0,0,Tabela746[[#This Row],[APLICANDO FORMULA GRUPO 3 - ENQUADRAMENTO]])</f>
        <v>1</v>
      </c>
    </row>
    <row r="35" spans="1:15">
      <c r="A35" s="380">
        <v>33</v>
      </c>
      <c r="B35" s="408" t="s">
        <v>73</v>
      </c>
      <c r="C35" s="381">
        <v>0.61428571428571432</v>
      </c>
      <c r="D35" s="258">
        <f t="shared" si="0"/>
        <v>61.428571428571431</v>
      </c>
      <c r="E35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35" s="320">
        <v>73.611111111111114</v>
      </c>
      <c r="G35" s="383">
        <f>Tabela746[[#This Row],[Meta 2024 (N)]]*$E$6</f>
        <v>48.045595000000006</v>
      </c>
      <c r="H35" s="386">
        <v>73.916300000000007</v>
      </c>
      <c r="I35" s="258" t="b">
        <f>IF(E35="Referência",
   IF(Tabela746[[#This Row],[TCC 2024 (N)]]&gt;=Tabela746[[#This Row],[TCC 2023(n)]],1,
      IF(Tabela746[[#This Row],[TCC 2024 (N)]]&gt;=C29,0.95,
         IF(AND(Tabela746[[#This Row],[TCC 2024 (N)]]&lt;Tabela746[[#This Row],[TCC 2024]], Tabela746[[#This Row],[TCC 2024 (N)]]&gt;E28),0.85,
            IF(AND(Tabela746[[#This Row],[TCC 2024 (N)]]&lt;E28, Tabela746[[#This Row],[TCC 2024 (N)]]&gt;=C28),0.8, FALSE)
         )
      )
   )
)</f>
        <v>0</v>
      </c>
      <c r="J35" s="258" t="b">
        <f>IF(E35="Excelência",
   IF(Tabela746[[#This Row],[TCC 2024 (N)]]&gt;=Tabela746[[#This Row],[TCC 2023(n)]],1,
      IF(Tabela746[[#This Row],[TCC 2024 (N)]]&gt;=C29,0.95,
         IF(AND(Tabela746[[#This Row],[TCC 2024 (N)]]&lt;Tabela746[[#This Row],[TCC 2024]], Tabela746[[#This Row],[TCC 2024 (N)]]&gt;E28),0.85,
            IF(AND(Tabela746[[#This Row],[TCC 2024 (N)]]&lt;E28, Tabela746[[#This Row],[TCC 2024 (N)]]&gt;=C28),0.8, FALSE)
         )
      )
   )
)</f>
        <v>0</v>
      </c>
      <c r="K35" s="258">
        <f>IF(E35="Intermediário", MAX(0, MIN(1, (Tabela746[[#This Row],[TCC 2024 (N)]]-Tabela746[[#This Row],[Linha de Base 2024 (N) ]])/(Tabela746[[#This Row],[Meta 2024 (N)]]-Tabela746[[#This Row],[Linha de Base 2024 (N) ]]))), "FALSO")</f>
        <v>0.51730234752286131</v>
      </c>
      <c r="L35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35" s="259">
        <f>SUM(Tabela746[[#This Row],[ICM Atribuído - Grupo 1]:[ICM Atribuído - Grupo 4]])</f>
        <v>0.51730234752286131</v>
      </c>
      <c r="N35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0.75</v>
      </c>
      <c r="O35" s="258">
        <f>IF(Tabela746[[#This Row],[APLICANDO FORMULA GRUPO 3 - ENQUADRAMENTO]]&lt;0,0,Tabela746[[#This Row],[APLICANDO FORMULA GRUPO 3 - ENQUADRAMENTO]])</f>
        <v>0.75</v>
      </c>
    </row>
    <row r="36" spans="1:15">
      <c r="A36" s="385">
        <v>34</v>
      </c>
      <c r="B36" s="409" t="s">
        <v>115</v>
      </c>
      <c r="C36" s="381">
        <v>0.67850143223277548</v>
      </c>
      <c r="D36" s="258">
        <f t="shared" si="0"/>
        <v>67.850143223277541</v>
      </c>
      <c r="E36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36" s="320">
        <v>77.152899824253069</v>
      </c>
      <c r="G36" s="383">
        <f>Tabela746[[#This Row],[Meta 2024 (N)]]*$E$6</f>
        <v>51.130105</v>
      </c>
      <c r="H36" s="386">
        <v>78.661699999999996</v>
      </c>
      <c r="I36" s="258" t="b">
        <f>IF(E36="Referência",
   IF(Tabela746[[#This Row],[TCC 2024 (N)]]&gt;=Tabela746[[#This Row],[TCC 2023(n)]],1,
      IF(Tabela746[[#This Row],[TCC 2024 (N)]]&gt;=C30,0.95,
         IF(AND(Tabela746[[#This Row],[TCC 2024 (N)]]&lt;Tabela746[[#This Row],[TCC 2024]], Tabela746[[#This Row],[TCC 2024 (N)]]&gt;E29),0.85,
            IF(AND(Tabela746[[#This Row],[TCC 2024 (N)]]&lt;E29, Tabela746[[#This Row],[TCC 2024 (N)]]&gt;=C29),0.8, FALSE)
         )
      )
   )
)</f>
        <v>0</v>
      </c>
      <c r="J36" s="258" t="b">
        <f>IF(E36="Excelência",
   IF(Tabela746[[#This Row],[TCC 2024 (N)]]&gt;=Tabela746[[#This Row],[TCC 2023(n)]],1,
      IF(Tabela746[[#This Row],[TCC 2024 (N)]]&gt;=C30,0.95,
         IF(AND(Tabela746[[#This Row],[TCC 2024 (N)]]&lt;Tabela746[[#This Row],[TCC 2024]], Tabela746[[#This Row],[TCC 2024 (N)]]&gt;E29),0.85,
            IF(AND(Tabela746[[#This Row],[TCC 2024 (N)]]&lt;E29, Tabela746[[#This Row],[TCC 2024 (N)]]&gt;=C29),0.8, FALSE)
         )
      )
   )
)</f>
        <v>0</v>
      </c>
      <c r="K36" s="258">
        <f>IF(E36="Intermediário", MAX(0, MIN(1, (Tabela746[[#This Row],[TCC 2024 (N)]]-Tabela746[[#This Row],[Linha de Base 2024 (N) ]])/(Tabela746[[#This Row],[Meta 2024 (N)]]-Tabela746[[#This Row],[Linha de Base 2024 (N) ]]))), "FALSO")</f>
        <v>0.60730365324920488</v>
      </c>
      <c r="L36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36" s="259">
        <f>SUM(Tabela746[[#This Row],[ICM Atribuído - Grupo 1]:[ICM Atribuído - Grupo 4]])</f>
        <v>0.60730365324920488</v>
      </c>
      <c r="N36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0.75</v>
      </c>
      <c r="O36" s="258">
        <f>IF(Tabela746[[#This Row],[APLICANDO FORMULA GRUPO 3 - ENQUADRAMENTO]]&lt;0,0,Tabela746[[#This Row],[APLICANDO FORMULA GRUPO 3 - ENQUADRAMENTO]])</f>
        <v>0.75</v>
      </c>
    </row>
    <row r="37" spans="1:15">
      <c r="A37" s="380">
        <v>35</v>
      </c>
      <c r="B37" s="408" t="s">
        <v>200</v>
      </c>
      <c r="C37" s="381">
        <v>0.6907016788635385</v>
      </c>
      <c r="D37" s="258">
        <f t="shared" si="0"/>
        <v>69.070167886353858</v>
      </c>
      <c r="E37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37" s="320">
        <v>57.296767874632714</v>
      </c>
      <c r="G37" s="383">
        <f>Tabela746[[#This Row],[Meta 2024 (N)]]*$E$6</f>
        <v>37.993540000000003</v>
      </c>
      <c r="H37" s="386">
        <v>58.451599999999999</v>
      </c>
      <c r="I37" s="258" t="b">
        <f>IF(E37="Referência",
   IF(Tabela746[[#This Row],[TCC 2024 (N)]]&gt;=Tabela746[[#This Row],[TCC 2023(n)]],1,
      IF(Tabela746[[#This Row],[TCC 2024 (N)]]&gt;=C31,0.95,
         IF(AND(Tabela746[[#This Row],[TCC 2024 (N)]]&lt;Tabela746[[#This Row],[TCC 2024]], Tabela746[[#This Row],[TCC 2024 (N)]]&gt;E30),0.85,
            IF(AND(Tabela746[[#This Row],[TCC 2024 (N)]]&lt;E30, Tabela746[[#This Row],[TCC 2024 (N)]]&gt;=C30),0.8, FALSE)
         )
      )
   )
)</f>
        <v>0</v>
      </c>
      <c r="J37" s="258" t="b">
        <f>IF(E37="Excelência",
   IF(Tabela746[[#This Row],[TCC 2024 (N)]]&gt;=Tabela746[[#This Row],[TCC 2023(n)]],1,
      IF(Tabela746[[#This Row],[TCC 2024 (N)]]&gt;=C31,0.95,
         IF(AND(Tabela746[[#This Row],[TCC 2024 (N)]]&lt;Tabela746[[#This Row],[TCC 2024]], Tabela746[[#This Row],[TCC 2024 (N)]]&gt;E30),0.85,
            IF(AND(Tabela746[[#This Row],[TCC 2024 (N)]]&lt;E30, Tabela746[[#This Row],[TCC 2024 (N)]]&gt;=C30),0.8, FALSE)
         )
      )
   )
)</f>
        <v>0</v>
      </c>
      <c r="K37" s="258">
        <f>IF(E37="Intermediário", MAX(0, MIN(1, (Tabela746[[#This Row],[TCC 2024 (N)]]-Tabela746[[#This Row],[Linha de Base 2024 (N) ]])/(Tabela746[[#This Row],[Meta 2024 (N)]]-Tabela746[[#This Row],[Linha de Base 2024 (N) ]]))), "FALSO")</f>
        <v>1</v>
      </c>
      <c r="L37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37" s="259">
        <f>SUM(Tabela746[[#This Row],[ICM Atribuído - Grupo 1]:[ICM Atribuído - Grupo 4]])</f>
        <v>1</v>
      </c>
      <c r="N37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37" s="258">
        <f>IF(Tabela746[[#This Row],[APLICANDO FORMULA GRUPO 3 - ENQUADRAMENTO]]&lt;0,0,Tabela746[[#This Row],[APLICANDO FORMULA GRUPO 3 - ENQUADRAMENTO]])</f>
        <v>1</v>
      </c>
    </row>
    <row r="38" spans="1:15">
      <c r="A38" s="385">
        <v>36</v>
      </c>
      <c r="B38" s="409" t="s">
        <v>144</v>
      </c>
      <c r="C38" s="381">
        <v>0.73112397430188913</v>
      </c>
      <c r="D38" s="258">
        <f t="shared" si="0"/>
        <v>73.112397430188906</v>
      </c>
      <c r="E38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38" s="320">
        <v>73.277661795407099</v>
      </c>
      <c r="G38" s="383">
        <f>Tabela746[[#This Row],[Meta 2024 (N)]]*$E$6</f>
        <v>47.848580000000005</v>
      </c>
      <c r="H38" s="386">
        <v>73.613200000000006</v>
      </c>
      <c r="I38" s="258" t="b">
        <f>IF(E38="Referência",
   IF(Tabela746[[#This Row],[TCC 2024 (N)]]&gt;=Tabela746[[#This Row],[TCC 2023(n)]],1,
      IF(Tabela746[[#This Row],[TCC 2024 (N)]]&gt;=C32,0.95,
         IF(AND(Tabela746[[#This Row],[TCC 2024 (N)]]&lt;Tabela746[[#This Row],[TCC 2024]], Tabela746[[#This Row],[TCC 2024 (N)]]&gt;E31),0.85,
            IF(AND(Tabela746[[#This Row],[TCC 2024 (N)]]&lt;E31, Tabela746[[#This Row],[TCC 2024 (N)]]&gt;=C31),0.8, FALSE)
         )
      )
   )
)</f>
        <v>0</v>
      </c>
      <c r="J38" s="258">
        <f>IF(E38="Excelência",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0.85</v>
      </c>
      <c r="K38" s="258" t="str">
        <f>IF(E38="Intermediário", MAX(0, MIN(1, (Tabela746[[#This Row],[TCC 2024 (N)]]-Tabela746[[#This Row],[Linha de Base 2024 (N) ]])/(Tabela746[[#This Row],[Meta 2024 (N)]]-Tabela746[[#This Row],[Linha de Base 2024 (N) ]]))), "FALSO")</f>
        <v>FALSO</v>
      </c>
      <c r="L38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38" s="259">
        <f>SUM(Tabela746[[#This Row],[ICM Atribuído - Grupo 1]:[ICM Atribuído - Grupo 4]])</f>
        <v>0.85</v>
      </c>
      <c r="N38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0.85</v>
      </c>
      <c r="O38" s="258">
        <f>IF(Tabela746[[#This Row],[APLICANDO FORMULA GRUPO 3 - ENQUADRAMENTO]]&lt;0,0,Tabela746[[#This Row],[APLICANDO FORMULA GRUPO 3 - ENQUADRAMENTO]])</f>
        <v>0.85</v>
      </c>
    </row>
    <row r="39" spans="1:15">
      <c r="A39" s="380">
        <v>37</v>
      </c>
      <c r="B39" s="408" t="s">
        <v>95</v>
      </c>
      <c r="C39" s="381">
        <v>0.74600157785268595</v>
      </c>
      <c r="D39" s="258">
        <f t="shared" si="0"/>
        <v>74.600157785268593</v>
      </c>
      <c r="E39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39" s="320">
        <v>66.666666666666657</v>
      </c>
      <c r="G39" s="383">
        <f>Tabela746[[#This Row],[Meta 2024 (N)]]*$E$6</f>
        <v>43.530305000000006</v>
      </c>
      <c r="H39" s="386">
        <v>66.969700000000003</v>
      </c>
      <c r="I39" s="258" t="b">
        <f>IF(E39="Referência",
   IF(Tabela746[[#This Row],[TCC 2024 (N)]]&gt;=Tabela746[[#This Row],[TCC 2023(n)]],1,
      IF(Tabela746[[#This Row],[TCC 2024 (N)]]&gt;=C33,0.95,
         IF(AND(Tabela746[[#This Row],[TCC 2024 (N)]]&lt;Tabela746[[#This Row],[TCC 2024]], Tabela746[[#This Row],[TCC 2024 (N)]]&gt;E32),0.85,
            IF(AND(Tabela746[[#This Row],[TCC 2024 (N)]]&lt;E32, Tabela746[[#This Row],[TCC 2024 (N)]]&gt;=C32),0.8, FALSE)
         )
      )
   )
)</f>
        <v>0</v>
      </c>
      <c r="J39" s="258">
        <f>IF(E39="Excelência",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39" s="258" t="str">
        <f>IF(E39="Intermediário", MAX(0, MIN(1, (Tabela746[[#This Row],[TCC 2024 (N)]]-Tabela746[[#This Row],[Linha de Base 2024 (N) ]])/(Tabela746[[#This Row],[Meta 2024 (N)]]-Tabela746[[#This Row],[Linha de Base 2024 (N) ]]))), "FALSO")</f>
        <v>FALSO</v>
      </c>
      <c r="L39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39" s="259">
        <f>SUM(Tabela746[[#This Row],[ICM Atribuído - Grupo 1]:[ICM Atribuído - Grupo 4]])</f>
        <v>1</v>
      </c>
      <c r="N39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39" s="258">
        <f>IF(Tabela746[[#This Row],[APLICANDO FORMULA GRUPO 3 - ENQUADRAMENTO]]&lt;0,0,Tabela746[[#This Row],[APLICANDO FORMULA GRUPO 3 - ENQUADRAMENTO]])</f>
        <v>1</v>
      </c>
    </row>
    <row r="40" spans="1:15">
      <c r="A40" s="385">
        <v>38</v>
      </c>
      <c r="B40" s="409" t="s">
        <v>130</v>
      </c>
      <c r="C40" s="381">
        <v>0.72037037037037033</v>
      </c>
      <c r="D40" s="258">
        <f t="shared" si="0"/>
        <v>72.037037037037038</v>
      </c>
      <c r="E40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40" s="320">
        <v>72.262773722627742</v>
      </c>
      <c r="G40" s="383">
        <f>Tabela746[[#This Row],[Meta 2024 (N)]]*$E$6</f>
        <v>47.248890000000003</v>
      </c>
      <c r="H40" s="386">
        <v>72.690600000000003</v>
      </c>
      <c r="I40" s="258" t="b">
        <f>IF(E40="Referência",
   IF(Tabela746[[#This Row],[TCC 2024 (N)]]&gt;=Tabela746[[#This Row],[TCC 2023(n)]],1,
      IF(Tabela746[[#This Row],[TCC 2024 (N)]]&gt;=C34,0.95,
         IF(AND(Tabela746[[#This Row],[TCC 2024 (N)]]&lt;Tabela746[[#This Row],[TCC 2024]], Tabela746[[#This Row],[TCC 2024 (N)]]&gt;E33),0.85,
            IF(AND(Tabela746[[#This Row],[TCC 2024 (N)]]&lt;E33, Tabela746[[#This Row],[TCC 2024 (N)]]&gt;=C33),0.8, FALSE)
         )
      )
   )
)</f>
        <v>0</v>
      </c>
      <c r="J40" s="258">
        <f>IF(E40="Excelência",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0.8</v>
      </c>
      <c r="K40" s="258" t="str">
        <f>IF(E40="Intermediário", MAX(0, MIN(1, (Tabela746[[#This Row],[TCC 2024 (N)]]-Tabela746[[#This Row],[Linha de Base 2024 (N) ]])/(Tabela746[[#This Row],[Meta 2024 (N)]]-Tabela746[[#This Row],[Linha de Base 2024 (N) ]]))), "FALSO")</f>
        <v>FALSO</v>
      </c>
      <c r="L40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40" s="259">
        <f>SUM(Tabela746[[#This Row],[ICM Atribuído - Grupo 1]:[ICM Atribuído - Grupo 4]])</f>
        <v>0.8</v>
      </c>
      <c r="N40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0.8</v>
      </c>
      <c r="O40" s="258">
        <f>IF(Tabela746[[#This Row],[APLICANDO FORMULA GRUPO 3 - ENQUADRAMENTO]]&lt;0,0,Tabela746[[#This Row],[APLICANDO FORMULA GRUPO 3 - ENQUADRAMENTO]])</f>
        <v>0.8</v>
      </c>
    </row>
    <row r="41" spans="1:15">
      <c r="A41" s="380">
        <v>39</v>
      </c>
      <c r="B41" s="408" t="s">
        <v>45</v>
      </c>
      <c r="C41" s="381">
        <v>0.77583926971803951</v>
      </c>
      <c r="D41" s="258">
        <f t="shared" si="0"/>
        <v>77.583926971803947</v>
      </c>
      <c r="E41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41" s="320">
        <v>74.460431654676256</v>
      </c>
      <c r="G41" s="383">
        <f>Tabela746[[#This Row],[Meta 2024 (N)]]*$E$6</f>
        <v>48.547460000000001</v>
      </c>
      <c r="H41" s="386">
        <v>74.688400000000001</v>
      </c>
      <c r="I41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41" s="258" t="b">
        <f>IF(E41="Excelência",
   IF(Tabela746[[#This Row],[TCC 2024 (N)]]&gt;=Tabela746[[#This Row],[TCC 2023(n)]],1,
      IF(Tabela746[[#This Row],[TCC 2024 (N)]]&gt;=C35,0.95,
         IF(AND(Tabela746[[#This Row],[TCC 2024 (N)]]&lt;Tabela746[[#This Row],[TCC 2024]], Tabela746[[#This Row],[TCC 2024 (N)]]&gt;E34),0.85,
            IF(AND(Tabela746[[#This Row],[TCC 2024 (N)]]&lt;E34, Tabela746[[#This Row],[TCC 2024 (N)]]&gt;=C34),0.8, FALSE)
         )
      )
   )
)</f>
        <v>0</v>
      </c>
      <c r="K41" s="258" t="str">
        <f>IF(E41="Intermediário", MAX(0, MIN(1, (Tabela746[[#This Row],[TCC 2024 (N)]]-Tabela746[[#This Row],[Linha de Base 2024 (N) ]])/(Tabela746[[#This Row],[Meta 2024 (N)]]-Tabela746[[#This Row],[Linha de Base 2024 (N) ]]))), "FALSO")</f>
        <v>FALSO</v>
      </c>
      <c r="L41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41" s="259">
        <f>SUM(Tabela746[[#This Row],[ICM Atribuído - Grupo 1]:[ICM Atribuído - Grupo 4]])</f>
        <v>1</v>
      </c>
      <c r="N41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41" s="258">
        <f>IF(Tabela746[[#This Row],[APLICANDO FORMULA GRUPO 3 - ENQUADRAMENTO]]&lt;0,0,Tabela746[[#This Row],[APLICANDO FORMULA GRUPO 3 - ENQUADRAMENTO]])</f>
        <v>1</v>
      </c>
    </row>
    <row r="42" spans="1:15">
      <c r="A42" s="385">
        <v>40</v>
      </c>
      <c r="B42" s="409" t="s">
        <v>126</v>
      </c>
      <c r="C42" s="381">
        <v>0.64934210526315783</v>
      </c>
      <c r="D42" s="258">
        <f t="shared" si="0"/>
        <v>64.93421052631578</v>
      </c>
      <c r="E42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42" s="320">
        <v>76.774193548387089</v>
      </c>
      <c r="G42" s="383">
        <f>Tabela746[[#This Row],[Meta 2024 (N)]]*$E$6</f>
        <v>49.914735</v>
      </c>
      <c r="H42" s="386">
        <v>76.791899999999998</v>
      </c>
      <c r="I42" s="258" t="b">
        <f>IF(E42="Referência",
   IF(Tabela746[[#This Row],[TCC 2024 (N)]]&gt;=Tabela746[[#This Row],[TCC 2023(n)]],1,
      IF(Tabela746[[#This Row],[TCC 2024 (N)]]&gt;=C36,0.95,
         IF(AND(Tabela746[[#This Row],[TCC 2024 (N)]]&lt;Tabela746[[#This Row],[TCC 2024]], Tabela746[[#This Row],[TCC 2024 (N)]]&gt;E35),0.85,
            IF(AND(Tabela746[[#This Row],[TCC 2024 (N)]]&lt;E35, Tabela746[[#This Row],[TCC 2024 (N)]]&gt;=C35),0.8, FALSE)
         )
      )
   )
)</f>
        <v>0</v>
      </c>
      <c r="J42" s="258" t="b">
        <f>IF(E42="Excelência",
   IF(Tabela746[[#This Row],[TCC 2024 (N)]]&gt;=Tabela746[[#This Row],[TCC 2023(n)]],1,
      IF(Tabela746[[#This Row],[TCC 2024 (N)]]&gt;=C36,0.95,
         IF(AND(Tabela746[[#This Row],[TCC 2024 (N)]]&lt;Tabela746[[#This Row],[TCC 2024]], Tabela746[[#This Row],[TCC 2024 (N)]]&gt;E35),0.85,
            IF(AND(Tabela746[[#This Row],[TCC 2024 (N)]]&lt;E35, Tabela746[[#This Row],[TCC 2024 (N)]]&gt;=C35),0.8, FALSE)
         )
      )
   )
)</f>
        <v>0</v>
      </c>
      <c r="K42" s="258">
        <f>IF(E42="Intermediário", MAX(0, MIN(1, (Tabela746[[#This Row],[TCC 2024 (N)]]-Tabela746[[#This Row],[Linha de Base 2024 (N) ]])/(Tabela746[[#This Row],[Meta 2024 (N)]]-Tabela746[[#This Row],[Linha de Base 2024 (N) ]]))), "FALSO")</f>
        <v>0.55881918819621712</v>
      </c>
      <c r="L42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42" s="259">
        <f>SUM(Tabela746[[#This Row],[ICM Atribuído - Grupo 1]:[ICM Atribuído - Grupo 4]])</f>
        <v>0.55881918819621712</v>
      </c>
      <c r="N42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0.75</v>
      </c>
      <c r="O42" s="258">
        <f>IF(Tabela746[[#This Row],[APLICANDO FORMULA GRUPO 3 - ENQUADRAMENTO]]&lt;0,0,Tabela746[[#This Row],[APLICANDO FORMULA GRUPO 3 - ENQUADRAMENTO]])</f>
        <v>0.75</v>
      </c>
    </row>
    <row r="43" spans="1:15">
      <c r="A43" s="380">
        <v>41</v>
      </c>
      <c r="B43" s="408" t="s">
        <v>58</v>
      </c>
      <c r="C43" s="381">
        <v>0.72432167018258531</v>
      </c>
      <c r="D43" s="258">
        <f t="shared" si="0"/>
        <v>72.432167018258525</v>
      </c>
      <c r="E43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43" s="320">
        <v>71.552660152008684</v>
      </c>
      <c r="G43" s="383">
        <f>Tabela746[[#This Row],[Meta 2024 (N)]]*$E$6</f>
        <v>46.829250000000002</v>
      </c>
      <c r="H43" s="386">
        <v>72.045000000000002</v>
      </c>
      <c r="I43" s="258" t="b">
        <f>IF(E43="Referência",
   IF(Tabela746[[#This Row],[TCC 2024 (N)]]&gt;=Tabela746[[#This Row],[TCC 2023(n)]],1,
      IF(Tabela746[[#This Row],[TCC 2024 (N)]]&gt;=C37,0.95,
         IF(AND(Tabela746[[#This Row],[TCC 2024 (N)]]&lt;Tabela746[[#This Row],[TCC 2024]], Tabela746[[#This Row],[TCC 2024 (N)]]&gt;E36),0.85,
            IF(AND(Tabela746[[#This Row],[TCC 2024 (N)]]&lt;E36, Tabela746[[#This Row],[TCC 2024 (N)]]&gt;=C36),0.8, FALSE)
         )
      )
   )
)</f>
        <v>0</v>
      </c>
      <c r="J43" s="258">
        <f>IF(E43="Excelência",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43" s="258" t="str">
        <f>IF(E43="Intermediário", MAX(0, MIN(1, (Tabela746[[#This Row],[TCC 2024 (N)]]-Tabela746[[#This Row],[Linha de Base 2024 (N) ]])/(Tabela746[[#This Row],[Meta 2024 (N)]]-Tabela746[[#This Row],[Linha de Base 2024 (N) ]]))), "FALSO")</f>
        <v>FALSO</v>
      </c>
      <c r="L43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43" s="259">
        <f>SUM(Tabela746[[#This Row],[ICM Atribuído - Grupo 1]:[ICM Atribuído - Grupo 4]])</f>
        <v>1</v>
      </c>
      <c r="N43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43" s="258">
        <f>IF(Tabela746[[#This Row],[APLICANDO FORMULA GRUPO 3 - ENQUADRAMENTO]]&lt;0,0,Tabela746[[#This Row],[APLICANDO FORMULA GRUPO 3 - ENQUADRAMENTO]])</f>
        <v>1</v>
      </c>
    </row>
    <row r="44" spans="1:15">
      <c r="A44" s="385">
        <v>42</v>
      </c>
      <c r="B44" s="409" t="s">
        <v>52</v>
      </c>
      <c r="C44" s="381">
        <v>0.75166698193511783</v>
      </c>
      <c r="D44" s="258">
        <f t="shared" si="0"/>
        <v>75.166698193511778</v>
      </c>
      <c r="E44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44" s="320">
        <v>78.25112107623319</v>
      </c>
      <c r="G44" s="383">
        <f>Tabela746[[#This Row],[Meta 2024 (N)]]*$E$6</f>
        <v>51.779065000000003</v>
      </c>
      <c r="H44" s="386">
        <v>79.6601</v>
      </c>
      <c r="I44" s="258" t="b">
        <f>IF(E44="Referência",
   IF(Tabela746[[#This Row],[TCC 2024 (N)]]&gt;=Tabela746[[#This Row],[TCC 2023(n)]],1,
      IF(Tabela746[[#This Row],[TCC 2024 (N)]]&gt;=C37,0.95,
         IF(AND(Tabela746[[#This Row],[TCC 2024 (N)]]&lt;Tabela746[[#This Row],[TCC 2024]], Tabela746[[#This Row],[TCC 2024 (N)]]&gt;E36),0.85,
            IF(AND(Tabela746[[#This Row],[TCC 2024 (N)]]&lt;E36, Tabela746[[#This Row],[TCC 2024 (N)]]&gt;=C36),0.8, FALSE)
         )
      )
   )
)</f>
        <v>0</v>
      </c>
      <c r="J44" s="258">
        <f>IF(E44="Excelência",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0.9</v>
      </c>
      <c r="K44" s="258" t="str">
        <f>IF(E44="Intermediário", MAX(0, MIN(1, (Tabela746[[#This Row],[TCC 2024 (N)]]-Tabela746[[#This Row],[Linha de Base 2024 (N) ]])/(Tabela746[[#This Row],[Meta 2024 (N)]]-Tabela746[[#This Row],[Linha de Base 2024 (N) ]]))), "FALSO")</f>
        <v>FALSO</v>
      </c>
      <c r="L44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44" s="259">
        <f>SUM(Tabela746[[#This Row],[ICM Atribuído - Grupo 1]:[ICM Atribuído - Grupo 4]])</f>
        <v>0.9</v>
      </c>
      <c r="N44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0.9</v>
      </c>
      <c r="O44" s="258">
        <f>IF(Tabela746[[#This Row],[APLICANDO FORMULA GRUPO 3 - ENQUADRAMENTO]]&lt;0,0,Tabela746[[#This Row],[APLICANDO FORMULA GRUPO 3 - ENQUADRAMENTO]])</f>
        <v>0.9</v>
      </c>
    </row>
    <row r="45" spans="1:15">
      <c r="A45" s="380">
        <v>43</v>
      </c>
      <c r="B45" s="408" t="s">
        <v>175</v>
      </c>
      <c r="C45" s="381">
        <v>0.69801237675687011</v>
      </c>
      <c r="D45" s="258">
        <f t="shared" si="0"/>
        <v>69.801237675687005</v>
      </c>
      <c r="E45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45" s="320">
        <v>62.834645669291334</v>
      </c>
      <c r="G45" s="383">
        <f>Tabela746[[#This Row],[Meta 2024 (N)]]*$E$6</f>
        <v>41.265900000000002</v>
      </c>
      <c r="H45" s="386">
        <v>63.485999999999997</v>
      </c>
      <c r="I45" s="258" t="b">
        <f>IF(E45="Referência",
   IF(Tabela746[[#This Row],[TCC 2024 (N)]]&gt;=Tabela746[[#This Row],[TCC 2023(n)]],1,
      IF(Tabela746[[#This Row],[TCC 2024 (N)]]&gt;=C39,0.95,
         IF(AND(Tabela746[[#This Row],[TCC 2024 (N)]]&lt;Tabela746[[#This Row],[TCC 2024]], Tabela746[[#This Row],[TCC 2024 (N)]]&gt;E38),0.85,
            IF(AND(Tabela746[[#This Row],[TCC 2024 (N)]]&lt;E38, Tabela746[[#This Row],[TCC 2024 (N)]]&gt;=C38),0.8, FALSE)
         )
      )
   )
)</f>
        <v>0</v>
      </c>
      <c r="J45" s="258" t="b">
        <f>IF(E45="Excelência",
   IF(Tabela746[[#This Row],[TCC 2024 (N)]]&gt;=Tabela746[[#This Row],[TCC 2023(n)]],1,
      IF(Tabela746[[#This Row],[TCC 2024 (N)]]&gt;=C39,0.95,
         IF(AND(Tabela746[[#This Row],[TCC 2024 (N)]]&lt;Tabela746[[#This Row],[TCC 2024]], Tabela746[[#This Row],[TCC 2024 (N)]]&gt;E38),0.85,
            IF(AND(Tabela746[[#This Row],[TCC 2024 (N)]]&lt;E38, Tabela746[[#This Row],[TCC 2024 (N)]]&gt;=C38),0.8, FALSE)
         )
      )
   )
)</f>
        <v>0</v>
      </c>
      <c r="K45" s="258">
        <f>IF(E45="Intermediário", MAX(0, MIN(1, (Tabela746[[#This Row],[TCC 2024 (N)]]-Tabela746[[#This Row],[Linha de Base 2024 (N) ]])/(Tabela746[[#This Row],[Meta 2024 (N)]]-Tabela746[[#This Row],[Linha de Base 2024 (N) ]]))), "FALSO")</f>
        <v>1</v>
      </c>
      <c r="L45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45" s="259">
        <f>SUM(Tabela746[[#This Row],[ICM Atribuído - Grupo 1]:[ICM Atribuído - Grupo 4]])</f>
        <v>1</v>
      </c>
      <c r="N45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45" s="258">
        <f>IF(Tabela746[[#This Row],[APLICANDO FORMULA GRUPO 3 - ENQUADRAMENTO]]&lt;0,0,Tabela746[[#This Row],[APLICANDO FORMULA GRUPO 3 - ENQUADRAMENTO]])</f>
        <v>1</v>
      </c>
    </row>
    <row r="46" spans="1:15">
      <c r="A46" s="385">
        <v>44</v>
      </c>
      <c r="B46" s="409" t="s">
        <v>94</v>
      </c>
      <c r="C46" s="381">
        <v>0.5947101255677264</v>
      </c>
      <c r="D46" s="258">
        <f t="shared" si="0"/>
        <v>59.471012556772642</v>
      </c>
      <c r="E46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46" s="320">
        <v>62.45353159851301</v>
      </c>
      <c r="G46" s="383">
        <f>Tabela746[[#This Row],[Meta 2024 (N)]]*$E$6</f>
        <v>41.04074</v>
      </c>
      <c r="H46" s="386">
        <v>63.139600000000002</v>
      </c>
      <c r="I46" s="258" t="b">
        <f>IF(E46="Referência",
   IF(Tabela746[[#This Row],[TCC 2024 (N)]]&gt;=Tabela746[[#This Row],[TCC 2023(n)]],1,
      IF(Tabela746[[#This Row],[TCC 2024 (N)]]&gt;=C40,0.95,
         IF(AND(Tabela746[[#This Row],[TCC 2024 (N)]]&lt;Tabela746[[#This Row],[TCC 2024]], Tabela746[[#This Row],[TCC 2024 (N)]]&gt;E39),0.85,
            IF(AND(Tabela746[[#This Row],[TCC 2024 (N)]]&lt;E39, Tabela746[[#This Row],[TCC 2024 (N)]]&gt;=C39),0.8, FALSE)
         )
      )
   )
)</f>
        <v>0</v>
      </c>
      <c r="J46" s="258" t="b">
        <f>IF(E46="Excelência",
   IF(Tabela746[[#This Row],[TCC 2024 (N)]]&gt;=Tabela746[[#This Row],[TCC 2023(n)]],1,
      IF(Tabela746[[#This Row],[TCC 2024 (N)]]&gt;=C40,0.95,
         IF(AND(Tabela746[[#This Row],[TCC 2024 (N)]]&lt;Tabela746[[#This Row],[TCC 2024]], Tabela746[[#This Row],[TCC 2024 (N)]]&gt;E39),0.85,
            IF(AND(Tabela746[[#This Row],[TCC 2024 (N)]]&lt;E39, Tabela746[[#This Row],[TCC 2024 (N)]]&gt;=C39),0.8, FALSE)
         )
      )
   )
)</f>
        <v>0</v>
      </c>
      <c r="K46" s="258">
        <f>IF(E46="Intermediário", MAX(0, MIN(1, (Tabela746[[#This Row],[TCC 2024 (N)]]-Tabela746[[#This Row],[Linha de Base 2024 (N) ]])/(Tabela746[[#This Row],[Meta 2024 (N)]]-Tabela746[[#This Row],[Linha de Base 2024 (N) ]]))), "FALSO")</f>
        <v>0.83399200487141156</v>
      </c>
      <c r="L46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46" s="259">
        <f>SUM(Tabela746[[#This Row],[ICM Atribuído - Grupo 1]:[ICM Atribuído - Grupo 4]])</f>
        <v>0.83399200487141156</v>
      </c>
      <c r="N46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46" s="258">
        <f>IF(Tabela746[[#This Row],[APLICANDO FORMULA GRUPO 3 - ENQUADRAMENTO]]&lt;0,0,Tabela746[[#This Row],[APLICANDO FORMULA GRUPO 3 - ENQUADRAMENTO]])</f>
        <v>1</v>
      </c>
    </row>
    <row r="47" spans="1:15">
      <c r="A47" s="380">
        <v>45</v>
      </c>
      <c r="B47" s="408" t="s">
        <v>135</v>
      </c>
      <c r="C47" s="381">
        <v>0.60264588859416446</v>
      </c>
      <c r="D47" s="258">
        <f t="shared" si="0"/>
        <v>60.264588859416449</v>
      </c>
      <c r="E47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47" s="320">
        <v>62.695924764890286</v>
      </c>
      <c r="G47" s="383">
        <f>Tabela746[[#This Row],[Meta 2024 (N)]]*$E$6</f>
        <v>41.183935000000005</v>
      </c>
      <c r="H47" s="386">
        <v>63.359900000000003</v>
      </c>
      <c r="I47" s="258" t="b">
        <f>IF(E47="Referência",
   IF(Tabela746[[#This Row],[TCC 2024 (N)]]&gt;=Tabela746[[#This Row],[TCC 2023(n)]],1,
      IF(Tabela746[[#This Row],[TCC 2024 (N)]]&gt;=C41,0.95,
         IF(AND(Tabela746[[#This Row],[TCC 2024 (N)]]&lt;Tabela746[[#This Row],[TCC 2024]], Tabela746[[#This Row],[TCC 2024 (N)]]&gt;E40),0.85,
            IF(AND(Tabela746[[#This Row],[TCC 2024 (N)]]&lt;E40, Tabela746[[#This Row],[TCC 2024 (N)]]&gt;=C40),0.8, FALSE)
         )
      )
   )
)</f>
        <v>0</v>
      </c>
      <c r="J47" s="258" t="b">
        <f>IF(E47="Excelência",
   IF(Tabela746[[#This Row],[TCC 2024 (N)]]&gt;=Tabela746[[#This Row],[TCC 2023(n)]],1,
      IF(Tabela746[[#This Row],[TCC 2024 (N)]]&gt;=C41,0.95,
         IF(AND(Tabela746[[#This Row],[TCC 2024 (N)]]&lt;Tabela746[[#This Row],[TCC 2024]], Tabela746[[#This Row],[TCC 2024 (N)]]&gt;E40),0.85,
            IF(AND(Tabela746[[#This Row],[TCC 2024 (N)]]&lt;E40, Tabela746[[#This Row],[TCC 2024 (N)]]&gt;=C40),0.8, FALSE)
         )
      )
   )
)</f>
        <v>0</v>
      </c>
      <c r="K47" s="258">
        <f>IF(E47="Intermediário", MAX(0, MIN(1, (Tabela746[[#This Row],[TCC 2024 (N)]]-Tabela746[[#This Row],[Linha de Base 2024 (N) ]])/(Tabela746[[#This Row],[Meta 2024 (N)]]-Tabela746[[#This Row],[Linha de Base 2024 (N) ]]))), "FALSO")</f>
        <v>0.86042045337898243</v>
      </c>
      <c r="L47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47" s="259">
        <f>SUM(Tabela746[[#This Row],[ICM Atribuído - Grupo 1]:[ICM Atribuído - Grupo 4]])</f>
        <v>0.86042045337898243</v>
      </c>
      <c r="N47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47" s="258">
        <f>IF(Tabela746[[#This Row],[APLICANDO FORMULA GRUPO 3 - ENQUADRAMENTO]]&lt;0,0,Tabela746[[#This Row],[APLICANDO FORMULA GRUPO 3 - ENQUADRAMENTO]])</f>
        <v>1</v>
      </c>
    </row>
    <row r="48" spans="1:15">
      <c r="A48" s="385">
        <v>46</v>
      </c>
      <c r="B48" s="409" t="s">
        <v>213</v>
      </c>
      <c r="C48" s="381">
        <v>0.78811830698623153</v>
      </c>
      <c r="D48" s="258">
        <f t="shared" si="0"/>
        <v>78.811830698623154</v>
      </c>
      <c r="E48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48" s="320">
        <v>67.843137254901961</v>
      </c>
      <c r="G48" s="383">
        <f>Tabela746[[#This Row],[Meta 2024 (N)]]*$E$6</f>
        <v>44.225479999999997</v>
      </c>
      <c r="H48" s="386">
        <v>68.039199999999994</v>
      </c>
      <c r="I48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48" s="258" t="b">
        <f>IF(E48="Excelência",
   IF(Tabela746[[#This Row],[TCC 2024 (N)]]&gt;=Tabela746[[#This Row],[TCC 2023(n)]],1,
      IF(Tabela746[[#This Row],[TCC 2024 (N)]]&gt;=C42,0.95,
         IF(AND(Tabela746[[#This Row],[TCC 2024 (N)]]&lt;Tabela746[[#This Row],[TCC 2024]], Tabela746[[#This Row],[TCC 2024 (N)]]&gt;E41),0.85,
            IF(AND(Tabela746[[#This Row],[TCC 2024 (N)]]&lt;E41, Tabela746[[#This Row],[TCC 2024 (N)]]&gt;=C41),0.8, FALSE)
         )
      )
   )
)</f>
        <v>0</v>
      </c>
      <c r="K48" s="258" t="str">
        <f>IF(E48="Intermediário", MAX(0, MIN(1, (Tabela746[[#This Row],[TCC 2024 (N)]]-Tabela746[[#This Row],[Linha de Base 2024 (N) ]])/(Tabela746[[#This Row],[Meta 2024 (N)]]-Tabela746[[#This Row],[Linha de Base 2024 (N) ]]))), "FALSO")</f>
        <v>FALSO</v>
      </c>
      <c r="L48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48" s="259">
        <f>SUM(Tabela746[[#This Row],[ICM Atribuído - Grupo 1]:[ICM Atribuído - Grupo 4]])</f>
        <v>1</v>
      </c>
      <c r="N48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48" s="258">
        <f>IF(Tabela746[[#This Row],[APLICANDO FORMULA GRUPO 3 - ENQUADRAMENTO]]&lt;0,0,Tabela746[[#This Row],[APLICANDO FORMULA GRUPO 3 - ENQUADRAMENTO]])</f>
        <v>1</v>
      </c>
    </row>
    <row r="49" spans="1:15">
      <c r="A49" s="380">
        <v>47</v>
      </c>
      <c r="B49" s="408" t="s">
        <v>152</v>
      </c>
      <c r="C49" s="381">
        <v>0.71439865758817644</v>
      </c>
      <c r="D49" s="258">
        <f t="shared" si="0"/>
        <v>71.439865758817646</v>
      </c>
      <c r="E49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49" s="320">
        <v>57.181571815718158</v>
      </c>
      <c r="G49" s="383">
        <f>Tabela746[[#This Row],[Meta 2024 (N)]]*$E$6</f>
        <v>37.925485000000002</v>
      </c>
      <c r="H49" s="386">
        <v>58.346899999999998</v>
      </c>
      <c r="I49" s="258" t="b">
        <f>IF(E49="Referência",
   IF(Tabela746[[#This Row],[TCC 2024 (N)]]&gt;=Tabela746[[#This Row],[TCC 2023(n)]],1,
      IF(Tabela746[[#This Row],[TCC 2024 (N)]]&gt;=C43,0.95,
         IF(AND(Tabela746[[#This Row],[TCC 2024 (N)]]&lt;Tabela746[[#This Row],[TCC 2024]], Tabela746[[#This Row],[TCC 2024 (N)]]&gt;E42),0.85,
            IF(AND(Tabela746[[#This Row],[TCC 2024 (N)]]&lt;E42, Tabela746[[#This Row],[TCC 2024 (N)]]&gt;=C42),0.8, FALSE)
         )
      )
   )
)</f>
        <v>0</v>
      </c>
      <c r="J49" s="258">
        <f>IF(E49="Excelência",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49" s="258" t="str">
        <f>IF(E49="Intermediário", MAX(0, MIN(1, (Tabela746[[#This Row],[TCC 2024 (N)]]-Tabela746[[#This Row],[Linha de Base 2024 (N) ]])/(Tabela746[[#This Row],[Meta 2024 (N)]]-Tabela746[[#This Row],[Linha de Base 2024 (N) ]]))), "FALSO")</f>
        <v>FALSO</v>
      </c>
      <c r="L49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49" s="259">
        <f>SUM(Tabela746[[#This Row],[ICM Atribuído - Grupo 1]:[ICM Atribuído - Grupo 4]])</f>
        <v>1</v>
      </c>
      <c r="N49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49" s="258">
        <f>IF(Tabela746[[#This Row],[APLICANDO FORMULA GRUPO 3 - ENQUADRAMENTO]]&lt;0,0,Tabela746[[#This Row],[APLICANDO FORMULA GRUPO 3 - ENQUADRAMENTO]])</f>
        <v>1</v>
      </c>
    </row>
    <row r="50" spans="1:15">
      <c r="A50" s="385">
        <v>48</v>
      </c>
      <c r="B50" s="409" t="s">
        <v>146</v>
      </c>
      <c r="C50" s="381">
        <v>0.70937500000000009</v>
      </c>
      <c r="D50" s="258">
        <f t="shared" si="0"/>
        <v>70.937500000000014</v>
      </c>
      <c r="E50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50" s="320">
        <v>72.899728997289969</v>
      </c>
      <c r="G50" s="383">
        <f>Tabela746[[#This Row],[Meta 2024 (N)]]*$E$6</f>
        <v>47.625239999999998</v>
      </c>
      <c r="H50" s="386">
        <v>73.269599999999997</v>
      </c>
      <c r="I50" s="258" t="b">
        <f>IF(E50="Referência",
   IF(Tabela746[[#This Row],[TCC 2024 (N)]]&gt;=Tabela746[[#This Row],[TCC 2023(n)]],1,
      IF(Tabela746[[#This Row],[TCC 2024 (N)]]&gt;=C44,0.95,
         IF(AND(Tabela746[[#This Row],[TCC 2024 (N)]]&lt;Tabela746[[#This Row],[TCC 2024]], Tabela746[[#This Row],[TCC 2024 (N)]]&gt;E43),0.85,
            IF(AND(Tabela746[[#This Row],[TCC 2024 (N)]]&lt;E43, Tabela746[[#This Row],[TCC 2024 (N)]]&gt;=C43),0.8, FALSE)
         )
      )
   )
)</f>
        <v>0</v>
      </c>
      <c r="J50" s="258">
        <f>IF(E50="Excelência",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0.7</v>
      </c>
      <c r="K50" s="258" t="str">
        <f>IF(E50="Intermediário", MAX(0, MIN(1, (Tabela746[[#This Row],[TCC 2024 (N)]]-Tabela746[[#This Row],[Linha de Base 2024 (N) ]])/(Tabela746[[#This Row],[Meta 2024 (N)]]-Tabela746[[#This Row],[Linha de Base 2024 (N) ]]))), "FALSO")</f>
        <v>FALSO</v>
      </c>
      <c r="L50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50" s="259">
        <f>SUM(Tabela746[[#This Row],[ICM Atribuído - Grupo 1]:[ICM Atribuído - Grupo 4]])</f>
        <v>0.7</v>
      </c>
      <c r="N50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0.7</v>
      </c>
      <c r="O50" s="258">
        <f>IF(Tabela746[[#This Row],[APLICANDO FORMULA GRUPO 3 - ENQUADRAMENTO]]&lt;0,0,Tabela746[[#This Row],[APLICANDO FORMULA GRUPO 3 - ENQUADRAMENTO]])</f>
        <v>0.7</v>
      </c>
    </row>
    <row r="51" spans="1:15">
      <c r="A51" s="380">
        <v>49</v>
      </c>
      <c r="B51" s="408" t="s">
        <v>166</v>
      </c>
      <c r="C51" s="381">
        <v>0.66379310344827591</v>
      </c>
      <c r="D51" s="258">
        <f t="shared" si="0"/>
        <v>66.379310344827587</v>
      </c>
      <c r="E51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51" s="320">
        <v>60.248447204968947</v>
      </c>
      <c r="G51" s="383">
        <f>Tabela746[[#This Row],[Meta 2024 (N)]]*$E$6</f>
        <v>39.737749999999998</v>
      </c>
      <c r="H51" s="386">
        <v>61.134999999999998</v>
      </c>
      <c r="I51" s="258" t="b">
        <f>IF(E51="Referência",
   IF(Tabela746[[#This Row],[TCC 2024 (N)]]&gt;=Tabela746[[#This Row],[TCC 2023(n)]],1,
      IF(Tabela746[[#This Row],[TCC 2024 (N)]]&gt;=C45,0.95,
         IF(AND(Tabela746[[#This Row],[TCC 2024 (N)]]&lt;Tabela746[[#This Row],[TCC 2024]], Tabela746[[#This Row],[TCC 2024 (N)]]&gt;E44),0.85,
            IF(AND(Tabela746[[#This Row],[TCC 2024 (N)]]&lt;E44, Tabela746[[#This Row],[TCC 2024 (N)]]&gt;=C44),0.8, FALSE)
         )
      )
   )
)</f>
        <v>0</v>
      </c>
      <c r="J51" s="258" t="b">
        <f>IF(E51="Excelência",
   IF(Tabela746[[#This Row],[TCC 2024 (N)]]&gt;=Tabela746[[#This Row],[TCC 2023(n)]],1,
      IF(Tabela746[[#This Row],[TCC 2024 (N)]]&gt;=C45,0.95,
         IF(AND(Tabela746[[#This Row],[TCC 2024 (N)]]&lt;Tabela746[[#This Row],[TCC 2024]], Tabela746[[#This Row],[TCC 2024 (N)]]&gt;E44),0.85,
            IF(AND(Tabela746[[#This Row],[TCC 2024 (N)]]&lt;E44, Tabela746[[#This Row],[TCC 2024 (N)]]&gt;=C44),0.8, FALSE)
         )
      )
   )
)</f>
        <v>0</v>
      </c>
      <c r="K51" s="258">
        <f>IF(E51="Intermediário", MAX(0, MIN(1, (Tabela746[[#This Row],[TCC 2024 (N)]]-Tabela746[[#This Row],[Linha de Base 2024 (N) ]])/(Tabela746[[#This Row],[Meta 2024 (N)]]-Tabela746[[#This Row],[Linha de Base 2024 (N) ]]))), "FALSO")</f>
        <v>1</v>
      </c>
      <c r="L51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51" s="259">
        <f>SUM(Tabela746[[#This Row],[ICM Atribuído - Grupo 1]:[ICM Atribuído - Grupo 4]])</f>
        <v>1</v>
      </c>
      <c r="N51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51" s="258">
        <f>IF(Tabela746[[#This Row],[APLICANDO FORMULA GRUPO 3 - ENQUADRAMENTO]]&lt;0,0,Tabela746[[#This Row],[APLICANDO FORMULA GRUPO 3 - ENQUADRAMENTO]])</f>
        <v>1</v>
      </c>
    </row>
    <row r="52" spans="1:15">
      <c r="A52" s="385">
        <v>50</v>
      </c>
      <c r="B52" s="409" t="s">
        <v>116</v>
      </c>
      <c r="C52" s="381">
        <v>0.74159663865546221</v>
      </c>
      <c r="D52" s="258">
        <f t="shared" si="0"/>
        <v>74.159663865546221</v>
      </c>
      <c r="E52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52" s="320">
        <v>73.951048951048946</v>
      </c>
      <c r="G52" s="383">
        <f>Tabela746[[#This Row],[Meta 2024 (N)]]*$E$6</f>
        <v>48.246510000000001</v>
      </c>
      <c r="H52" s="386">
        <v>74.225399999999993</v>
      </c>
      <c r="I52" s="258" t="b">
        <f>IF(E52="Referência",
   IF(Tabela746[[#This Row],[TCC 2024 (N)]]&gt;=Tabela746[[#This Row],[TCC 2023(n)]],1,
      IF(Tabela746[[#This Row],[TCC 2024 (N)]]&gt;=C46,0.95,
         IF(AND(Tabela746[[#This Row],[TCC 2024 (N)]]&lt;Tabela746[[#This Row],[TCC 2024]], Tabela746[[#This Row],[TCC 2024 (N)]]&gt;E45),0.85,
            IF(AND(Tabela746[[#This Row],[TCC 2024 (N)]]&lt;E45, Tabela746[[#This Row],[TCC 2024 (N)]]&gt;=C45),0.8, FALSE)
         )
      )
   )
)</f>
        <v>0</v>
      </c>
      <c r="J52" s="258">
        <f>IF(E52="Excelência",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52" s="258" t="str">
        <f>IF(E52="Intermediário", MAX(0, MIN(1, (Tabela746[[#This Row],[TCC 2024 (N)]]-Tabela746[[#This Row],[Linha de Base 2024 (N) ]])/(Tabela746[[#This Row],[Meta 2024 (N)]]-Tabela746[[#This Row],[Linha de Base 2024 (N) ]]))), "FALSO")</f>
        <v>FALSO</v>
      </c>
      <c r="L52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52" s="259">
        <f>SUM(Tabela746[[#This Row],[ICM Atribuído - Grupo 1]:[ICM Atribuído - Grupo 4]])</f>
        <v>1</v>
      </c>
      <c r="N52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52" s="258">
        <f>IF(Tabela746[[#This Row],[APLICANDO FORMULA GRUPO 3 - ENQUADRAMENTO]]&lt;0,0,Tabela746[[#This Row],[APLICANDO FORMULA GRUPO 3 - ENQUADRAMENTO]])</f>
        <v>1</v>
      </c>
    </row>
    <row r="53" spans="1:15">
      <c r="A53" s="380">
        <v>51</v>
      </c>
      <c r="B53" s="408" t="s">
        <v>210</v>
      </c>
      <c r="C53" s="381">
        <v>0.73637644158816795</v>
      </c>
      <c r="D53" s="258">
        <f t="shared" si="0"/>
        <v>73.637644158816798</v>
      </c>
      <c r="E53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53" s="320">
        <v>62.385321100917437</v>
      </c>
      <c r="G53" s="383">
        <f>Tabela746[[#This Row],[Meta 2024 (N)]]*$E$6</f>
        <v>41.000439999999998</v>
      </c>
      <c r="H53" s="386">
        <v>63.077599999999997</v>
      </c>
      <c r="I53" s="258" t="b">
        <f>IF(E53="Referência",
   IF(Tabela746[[#This Row],[TCC 2024 (N)]]&gt;=Tabela746[[#This Row],[TCC 2023(n)]],1,
      IF(Tabela746[[#This Row],[TCC 2024 (N)]]&gt;=C47,0.95,
         IF(AND(Tabela746[[#This Row],[TCC 2024 (N)]]&lt;Tabela746[[#This Row],[TCC 2024]], Tabela746[[#This Row],[TCC 2024 (N)]]&gt;E46),0.85,
            IF(AND(Tabela746[[#This Row],[TCC 2024 (N)]]&lt;E46, Tabela746[[#This Row],[TCC 2024 (N)]]&gt;=C46),0.8, FALSE)
         )
      )
   )
)</f>
        <v>0</v>
      </c>
      <c r="J53" s="258">
        <f>IF(E53="Excelência",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53" s="258" t="str">
        <f>IF(E53="Intermediário", MAX(0, MIN(1, (Tabela746[[#This Row],[TCC 2024 (N)]]-Tabela746[[#This Row],[Linha de Base 2024 (N) ]])/(Tabela746[[#This Row],[Meta 2024 (N)]]-Tabela746[[#This Row],[Linha de Base 2024 (N) ]]))), "FALSO")</f>
        <v>FALSO</v>
      </c>
      <c r="L53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53" s="259">
        <f>SUM(Tabela746[[#This Row],[ICM Atribuído - Grupo 1]:[ICM Atribuído - Grupo 4]])</f>
        <v>1</v>
      </c>
      <c r="N53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53" s="258">
        <f>IF(Tabela746[[#This Row],[APLICANDO FORMULA GRUPO 3 - ENQUADRAMENTO]]&lt;0,0,Tabela746[[#This Row],[APLICANDO FORMULA GRUPO 3 - ENQUADRAMENTO]])</f>
        <v>1</v>
      </c>
    </row>
    <row r="54" spans="1:15">
      <c r="A54" s="385">
        <v>52</v>
      </c>
      <c r="B54" s="409" t="s">
        <v>197</v>
      </c>
      <c r="C54" s="381">
        <v>0.81791686574295275</v>
      </c>
      <c r="D54" s="258">
        <f t="shared" si="0"/>
        <v>81.791686574295269</v>
      </c>
      <c r="E54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54" s="320">
        <v>59.38697318007663</v>
      </c>
      <c r="G54" s="383">
        <f>Tabela746[[#This Row],[Meta 2024 (N)]]*$E$6</f>
        <v>39.228670000000001</v>
      </c>
      <c r="H54" s="386">
        <v>60.351799999999997</v>
      </c>
      <c r="I54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54" s="258" t="b">
        <f>IF(E54="Excelência",
   IF(Tabela746[[#This Row],[TCC 2024 (N)]]&gt;=Tabela746[[#This Row],[TCC 2023(n)]],1,
      IF(Tabela746[[#This Row],[TCC 2024 (N)]]&gt;=C48,0.95,
         IF(AND(Tabela746[[#This Row],[TCC 2024 (N)]]&lt;Tabela746[[#This Row],[TCC 2024]], Tabela746[[#This Row],[TCC 2024 (N)]]&gt;E47),0.85,
            IF(AND(Tabela746[[#This Row],[TCC 2024 (N)]]&lt;E47, Tabela746[[#This Row],[TCC 2024 (N)]]&gt;=C47),0.8, FALSE)
         )
      )
   )
)</f>
        <v>0</v>
      </c>
      <c r="K54" s="258" t="str">
        <f>IF(E54="Intermediário", MAX(0, MIN(1, (Tabela746[[#This Row],[TCC 2024 (N)]]-Tabela746[[#This Row],[Linha de Base 2024 (N) ]])/(Tabela746[[#This Row],[Meta 2024 (N)]]-Tabela746[[#This Row],[Linha de Base 2024 (N) ]]))), "FALSO")</f>
        <v>FALSO</v>
      </c>
      <c r="L54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54" s="259">
        <f>SUM(Tabela746[[#This Row],[ICM Atribuído - Grupo 1]:[ICM Atribuído - Grupo 4]])</f>
        <v>1</v>
      </c>
      <c r="N54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54" s="258">
        <f>IF(Tabela746[[#This Row],[APLICANDO FORMULA GRUPO 3 - ENQUADRAMENTO]]&lt;0,0,Tabela746[[#This Row],[APLICANDO FORMULA GRUPO 3 - ENQUADRAMENTO]])</f>
        <v>1</v>
      </c>
    </row>
    <row r="55" spans="1:15">
      <c r="A55" s="380">
        <v>53</v>
      </c>
      <c r="B55" s="408" t="s">
        <v>201</v>
      </c>
      <c r="C55" s="381">
        <v>0.72227191413237923</v>
      </c>
      <c r="D55" s="258">
        <f t="shared" si="0"/>
        <v>72.227191413237918</v>
      </c>
      <c r="E55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55" s="320">
        <v>66.820276497695858</v>
      </c>
      <c r="G55" s="383">
        <f>Tabela746[[#This Row],[Meta 2024 (N)]]*$E$6</f>
        <v>43.621045000000002</v>
      </c>
      <c r="H55" s="386">
        <v>67.109300000000005</v>
      </c>
      <c r="I55" s="258" t="b">
        <f>IF(E55="Referência",
   IF(Tabela746[[#This Row],[TCC 2024 (N)]]&gt;=Tabela746[[#This Row],[TCC 2023(n)]],1,
      IF(Tabela746[[#This Row],[TCC 2024 (N)]]&gt;=C49,0.95,
         IF(AND(Tabela746[[#This Row],[TCC 2024 (N)]]&lt;Tabela746[[#This Row],[TCC 2024]], Tabela746[[#This Row],[TCC 2024 (N)]]&gt;E48),0.85,
            IF(AND(Tabela746[[#This Row],[TCC 2024 (N)]]&lt;E48, Tabela746[[#This Row],[TCC 2024 (N)]]&gt;=C48),0.8, FALSE)
         )
      )
   )
)</f>
        <v>0</v>
      </c>
      <c r="J55" s="258">
        <f>IF(E55="Excelência",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55" s="258" t="str">
        <f>IF(E55="Intermediário", MAX(0, MIN(1, (Tabela746[[#This Row],[TCC 2024 (N)]]-Tabela746[[#This Row],[Linha de Base 2024 (N) ]])/(Tabela746[[#This Row],[Meta 2024 (N)]]-Tabela746[[#This Row],[Linha de Base 2024 (N) ]]))), "FALSO")</f>
        <v>FALSO</v>
      </c>
      <c r="L55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55" s="259">
        <f>SUM(Tabela746[[#This Row],[ICM Atribuído - Grupo 1]:[ICM Atribuído - Grupo 4]])</f>
        <v>1</v>
      </c>
      <c r="N55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55" s="258">
        <f>IF(Tabela746[[#This Row],[APLICANDO FORMULA GRUPO 3 - ENQUADRAMENTO]]&lt;0,0,Tabela746[[#This Row],[APLICANDO FORMULA GRUPO 3 - ENQUADRAMENTO]])</f>
        <v>1</v>
      </c>
    </row>
    <row r="56" spans="1:15">
      <c r="A56" s="385">
        <v>54</v>
      </c>
      <c r="B56" s="409" t="s">
        <v>106</v>
      </c>
      <c r="C56" s="381">
        <v>0.64863343157426456</v>
      </c>
      <c r="D56" s="258">
        <f t="shared" si="0"/>
        <v>64.863343157426456</v>
      </c>
      <c r="E56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56" s="320">
        <v>66.393442622950815</v>
      </c>
      <c r="G56" s="383">
        <f>Tabela746[[#This Row],[Meta 2024 (N)]]*$E$6</f>
        <v>43.368845</v>
      </c>
      <c r="H56" s="386">
        <v>66.721299999999999</v>
      </c>
      <c r="I56" s="258" t="b">
        <f>IF(E56="Referência",
   IF(Tabela746[[#This Row],[TCC 2024 (N)]]&gt;=Tabela746[[#This Row],[TCC 2023(n)]],1,
      IF(Tabela746[[#This Row],[TCC 2024 (N)]]&gt;=C50,0.95,
         IF(AND(Tabela746[[#This Row],[TCC 2024 (N)]]&lt;Tabela746[[#This Row],[TCC 2024]], Tabela746[[#This Row],[TCC 2024 (N)]]&gt;E49),0.85,
            IF(AND(Tabela746[[#This Row],[TCC 2024 (N)]]&lt;E49, Tabela746[[#This Row],[TCC 2024 (N)]]&gt;=C49),0.8, FALSE)
         )
      )
   )
)</f>
        <v>0</v>
      </c>
      <c r="J56" s="258" t="b">
        <f>IF(E56="Excelência",
   IF(Tabela746[[#This Row],[TCC 2024 (N)]]&gt;=Tabela746[[#This Row],[TCC 2023(n)]],1,
      IF(Tabela746[[#This Row],[TCC 2024 (N)]]&gt;=C50,0.95,
         IF(AND(Tabela746[[#This Row],[TCC 2024 (N)]]&lt;Tabela746[[#This Row],[TCC 2024]], Tabela746[[#This Row],[TCC 2024 (N)]]&gt;E49),0.85,
            IF(AND(Tabela746[[#This Row],[TCC 2024 (N)]]&lt;E49, Tabela746[[#This Row],[TCC 2024 (N)]]&gt;=C49),0.8, FALSE)
         )
      )
   )
)</f>
        <v>0</v>
      </c>
      <c r="K56" s="258">
        <f>IF(E56="Intermediário", MAX(0, MIN(1, (Tabela746[[#This Row],[TCC 2024 (N)]]-Tabela746[[#This Row],[Linha de Base 2024 (N) ]])/(Tabela746[[#This Row],[Meta 2024 (N)]]-Tabela746[[#This Row],[Linha de Base 2024 (N) ]]))), "FALSO")</f>
        <v>0.92043847884200858</v>
      </c>
      <c r="L56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56" s="259">
        <f>SUM(Tabela746[[#This Row],[ICM Atribuído - Grupo 1]:[ICM Atribuído - Grupo 4]])</f>
        <v>0.92043847884200858</v>
      </c>
      <c r="N56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56" s="258">
        <f>IF(Tabela746[[#This Row],[APLICANDO FORMULA GRUPO 3 - ENQUADRAMENTO]]&lt;0,0,Tabela746[[#This Row],[APLICANDO FORMULA GRUPO 3 - ENQUADRAMENTO]])</f>
        <v>1</v>
      </c>
    </row>
    <row r="57" spans="1:15">
      <c r="A57" s="380">
        <v>55</v>
      </c>
      <c r="B57" s="408" t="s">
        <v>81</v>
      </c>
      <c r="C57" s="381">
        <v>0.60707998873398106</v>
      </c>
      <c r="D57" s="258">
        <f t="shared" si="0"/>
        <v>60.707998873398104</v>
      </c>
      <c r="E57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57" s="320">
        <v>64.444444444444443</v>
      </c>
      <c r="G57" s="383">
        <f>Tabela746[[#This Row],[Meta 2024 (N)]]*$E$6</f>
        <v>42.217175000000005</v>
      </c>
      <c r="H57" s="386">
        <v>64.9495</v>
      </c>
      <c r="I57" s="258" t="b">
        <f>IF(E57="Referência",
   IF(Tabela746[[#This Row],[TCC 2024 (N)]]&gt;=Tabela746[[#This Row],[TCC 2023(n)]],1,
      IF(Tabela746[[#This Row],[TCC 2024 (N)]]&gt;=C51,0.95,
         IF(AND(Tabela746[[#This Row],[TCC 2024 (N)]]&lt;Tabela746[[#This Row],[TCC 2024]], Tabela746[[#This Row],[TCC 2024 (N)]]&gt;E50),0.85,
            IF(AND(Tabela746[[#This Row],[TCC 2024 (N)]]&lt;E50, Tabela746[[#This Row],[TCC 2024 (N)]]&gt;=C50),0.8, FALSE)
         )
      )
   )
)</f>
        <v>0</v>
      </c>
      <c r="J57" s="258" t="b">
        <f>IF(E57="Excelência",
   IF(Tabela746[[#This Row],[TCC 2024 (N)]]&gt;=Tabela746[[#This Row],[TCC 2023(n)]],1,
      IF(Tabela746[[#This Row],[TCC 2024 (N)]]&gt;=C51,0.95,
         IF(AND(Tabela746[[#This Row],[TCC 2024 (N)]]&lt;Tabela746[[#This Row],[TCC 2024]], Tabela746[[#This Row],[TCC 2024 (N)]]&gt;E50),0.85,
            IF(AND(Tabela746[[#This Row],[TCC 2024 (N)]]&lt;E50, Tabela746[[#This Row],[TCC 2024 (N)]]&gt;=C50),0.8, FALSE)
         )
      )
   )
)</f>
        <v>0</v>
      </c>
      <c r="K57" s="258">
        <f>IF(E57="Intermediário", MAX(0, MIN(1, (Tabela746[[#This Row],[TCC 2024 (N)]]-Tabela746[[#This Row],[Linha de Base 2024 (N) ]])/(Tabela746[[#This Row],[Meta 2024 (N)]]-Tabela746[[#This Row],[Linha de Base 2024 (N) ]]))), "FALSO")</f>
        <v>0.81341542817983215</v>
      </c>
      <c r="L57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57" s="259">
        <f>SUM(Tabela746[[#This Row],[ICM Atribuído - Grupo 1]:[ICM Atribuído - Grupo 4]])</f>
        <v>0.81341542817983215</v>
      </c>
      <c r="N57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57" s="258">
        <f>IF(Tabela746[[#This Row],[APLICANDO FORMULA GRUPO 3 - ENQUADRAMENTO]]&lt;0,0,Tabela746[[#This Row],[APLICANDO FORMULA GRUPO 3 - ENQUADRAMENTO]])</f>
        <v>1</v>
      </c>
    </row>
    <row r="58" spans="1:15">
      <c r="A58" s="385">
        <v>56</v>
      </c>
      <c r="B58" s="409" t="s">
        <v>147</v>
      </c>
      <c r="C58" s="381">
        <v>0.76293096448349229</v>
      </c>
      <c r="D58" s="258">
        <f t="shared" si="0"/>
        <v>76.293096448349232</v>
      </c>
      <c r="E58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58" s="320">
        <v>73.220338983050851</v>
      </c>
      <c r="G58" s="383">
        <f>Tabela746[[#This Row],[Meta 2024 (N)]]*$E$6</f>
        <v>47.814715</v>
      </c>
      <c r="H58" s="386">
        <v>73.561099999999996</v>
      </c>
      <c r="I58" s="258" t="b">
        <f>IF(E58="Referência",
   IF(Tabela746[[#This Row],[TCC 2024 (N)]]&gt;=Tabela746[[#This Row],[TCC 2023(n)]],1,
      IF(Tabela746[[#This Row],[TCC 2024 (N)]]&gt;=C52,0.95,
         IF(AND(Tabela746[[#This Row],[TCC 2024 (N)]]&lt;Tabela746[[#This Row],[TCC 2024]], Tabela746[[#This Row],[TCC 2024 (N)]]&gt;E51),0.85,
            IF(AND(Tabela746[[#This Row],[TCC 2024 (N)]]&lt;E51, Tabela746[[#This Row],[TCC 2024 (N)]]&gt;=C51),0.8, FALSE)
         )
      )
   )
)</f>
        <v>0</v>
      </c>
      <c r="J58" s="258">
        <f>IF(E58="Excelência",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58" s="258" t="str">
        <f>IF(E58="Intermediário", MAX(0, MIN(1, (Tabela746[[#This Row],[TCC 2024 (N)]]-Tabela746[[#This Row],[Linha de Base 2024 (N) ]])/(Tabela746[[#This Row],[Meta 2024 (N)]]-Tabela746[[#This Row],[Linha de Base 2024 (N) ]]))), "FALSO")</f>
        <v>FALSO</v>
      </c>
      <c r="L58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58" s="259">
        <f>SUM(Tabela746[[#This Row],[ICM Atribuído - Grupo 1]:[ICM Atribuído - Grupo 4]])</f>
        <v>1</v>
      </c>
      <c r="N58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58" s="258">
        <f>IF(Tabela746[[#This Row],[APLICANDO FORMULA GRUPO 3 - ENQUADRAMENTO]]&lt;0,0,Tabela746[[#This Row],[APLICANDO FORMULA GRUPO 3 - ENQUADRAMENTO]])</f>
        <v>1</v>
      </c>
    </row>
    <row r="59" spans="1:15">
      <c r="A59" s="380">
        <v>57</v>
      </c>
      <c r="B59" s="408" t="s">
        <v>171</v>
      </c>
      <c r="C59" s="381">
        <v>0.67888198757763973</v>
      </c>
      <c r="D59" s="258">
        <f t="shared" si="0"/>
        <v>67.888198757763973</v>
      </c>
      <c r="E59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59" s="320">
        <v>64.166666666666671</v>
      </c>
      <c r="G59" s="383">
        <f>Tabela746[[#This Row],[Meta 2024 (N)]]*$E$6</f>
        <v>42.053050000000006</v>
      </c>
      <c r="H59" s="386">
        <v>64.697000000000003</v>
      </c>
      <c r="I59" s="258" t="b">
        <f>IF(E59="Referência",
   IF(Tabela746[[#This Row],[TCC 2024 (N)]]&gt;=Tabela746[[#This Row],[TCC 2023(n)]],1,
      IF(Tabela746[[#This Row],[TCC 2024 (N)]]&gt;=C53,0.95,
         IF(AND(Tabela746[[#This Row],[TCC 2024 (N)]]&lt;Tabela746[[#This Row],[TCC 2024]], Tabela746[[#This Row],[TCC 2024 (N)]]&gt;E52),0.85,
            IF(AND(Tabela746[[#This Row],[TCC 2024 (N)]]&lt;E52, Tabela746[[#This Row],[TCC 2024 (N)]]&gt;=C52),0.8, FALSE)
         )
      )
   )
)</f>
        <v>0</v>
      </c>
      <c r="J59" s="258" t="b">
        <f>IF(E59="Excelência",
   IF(Tabela746[[#This Row],[TCC 2024 (N)]]&gt;=Tabela746[[#This Row],[TCC 2023(n)]],1,
      IF(Tabela746[[#This Row],[TCC 2024 (N)]]&gt;=C53,0.95,
         IF(AND(Tabela746[[#This Row],[TCC 2024 (N)]]&lt;Tabela746[[#This Row],[TCC 2024]], Tabela746[[#This Row],[TCC 2024 (N)]]&gt;E52),0.85,
            IF(AND(Tabela746[[#This Row],[TCC 2024 (N)]]&lt;E52, Tabela746[[#This Row],[TCC 2024 (N)]]&gt;=C52),0.8, FALSE)
         )
      )
   )
)</f>
        <v>0</v>
      </c>
      <c r="K59" s="258">
        <f>IF(E59="Intermediário", MAX(0, MIN(1, (Tabela746[[#This Row],[TCC 2024 (N)]]-Tabela746[[#This Row],[Linha de Base 2024 (N) ]])/(Tabela746[[#This Row],[Meta 2024 (N)]]-Tabela746[[#This Row],[Linha de Base 2024 (N) ]]))), "FALSO")</f>
        <v>1</v>
      </c>
      <c r="L59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59" s="259">
        <f>SUM(Tabela746[[#This Row],[ICM Atribuído - Grupo 1]:[ICM Atribuído - Grupo 4]])</f>
        <v>1</v>
      </c>
      <c r="N59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59" s="258">
        <f>IF(Tabela746[[#This Row],[APLICANDO FORMULA GRUPO 3 - ENQUADRAMENTO]]&lt;0,0,Tabela746[[#This Row],[APLICANDO FORMULA GRUPO 3 - ENQUADRAMENTO]])</f>
        <v>1</v>
      </c>
    </row>
    <row r="60" spans="1:15">
      <c r="A60" s="385">
        <v>58</v>
      </c>
      <c r="B60" s="409" t="s">
        <v>3</v>
      </c>
      <c r="C60" s="381">
        <v>0.70930447650758421</v>
      </c>
      <c r="D60" s="258">
        <f t="shared" si="0"/>
        <v>70.930447650758424</v>
      </c>
      <c r="E60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60" s="320">
        <v>77.292576419213972</v>
      </c>
      <c r="G60" s="383">
        <f>Tabela746[[#This Row],[Meta 2024 (N)]]*$E$6</f>
        <v>51.212655000000005</v>
      </c>
      <c r="H60" s="386">
        <v>78.788700000000006</v>
      </c>
      <c r="I60" s="258" t="b">
        <f>IF(E60="Referência",
   IF(Tabela746[[#This Row],[TCC 2024 (N)]]&gt;=Tabela746[[#This Row],[TCC 2023(n)]],1,
      IF(Tabela746[[#This Row],[TCC 2024 (N)]]&gt;=C54,0.95,
         IF(AND(Tabela746[[#This Row],[TCC 2024 (N)]]&lt;Tabela746[[#This Row],[TCC 2024]], Tabela746[[#This Row],[TCC 2024 (N)]]&gt;E53),0.85,
            IF(AND(Tabela746[[#This Row],[TCC 2024 (N)]]&lt;E53, Tabela746[[#This Row],[TCC 2024 (N)]]&gt;=C53),0.8, FALSE)
         )
      )
   )
)</f>
        <v>0</v>
      </c>
      <c r="J60" s="258">
        <f>IF(E60="Excelência",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0.7</v>
      </c>
      <c r="K60" s="258" t="str">
        <f>IF(E60="Intermediário", MAX(0, MIN(1, (Tabela746[[#This Row],[TCC 2024 (N)]]-Tabela746[[#This Row],[Linha de Base 2024 (N) ]])/(Tabela746[[#This Row],[Meta 2024 (N)]]-Tabela746[[#This Row],[Linha de Base 2024 (N) ]]))), "FALSO")</f>
        <v>FALSO</v>
      </c>
      <c r="L60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60" s="259">
        <f>SUM(Tabela746[[#This Row],[ICM Atribuído - Grupo 1]:[ICM Atribuído - Grupo 4]])</f>
        <v>0.7</v>
      </c>
      <c r="N60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0.7</v>
      </c>
      <c r="O60" s="258">
        <f>IF(Tabela746[[#This Row],[APLICANDO FORMULA GRUPO 3 - ENQUADRAMENTO]]&lt;0,0,Tabela746[[#This Row],[APLICANDO FORMULA GRUPO 3 - ENQUADRAMENTO]])</f>
        <v>0.7</v>
      </c>
    </row>
    <row r="61" spans="1:15">
      <c r="A61" s="380">
        <v>59</v>
      </c>
      <c r="B61" s="408" t="s">
        <v>174</v>
      </c>
      <c r="C61" s="381">
        <v>0.76333716035208576</v>
      </c>
      <c r="D61" s="258">
        <f t="shared" si="0"/>
        <v>76.333716035208582</v>
      </c>
      <c r="E61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61" s="320">
        <v>71.913580246913583</v>
      </c>
      <c r="G61" s="383">
        <f>Tabela746[[#This Row],[Meta 2024 (N)]]*$E$6</f>
        <v>47.042514999999995</v>
      </c>
      <c r="H61" s="386">
        <v>72.373099999999994</v>
      </c>
      <c r="I61" s="258" t="b">
        <f>IF(E61="Referência",
   IF(Tabela746[[#This Row],[TCC 2024 (N)]]&gt;=Tabela746[[#This Row],[TCC 2023(n)]],1,
      IF(Tabela746[[#This Row],[TCC 2024 (N)]]&gt;=C55,0.95,
         IF(AND(Tabela746[[#This Row],[TCC 2024 (N)]]&lt;Tabela746[[#This Row],[TCC 2024]], Tabela746[[#This Row],[TCC 2024 (N)]]&gt;E54),0.85,
            IF(AND(Tabela746[[#This Row],[TCC 2024 (N)]]&lt;E54, Tabela746[[#This Row],[TCC 2024 (N)]]&gt;=C54),0.8, FALSE)
         )
      )
   )
)</f>
        <v>0</v>
      </c>
      <c r="J61" s="258">
        <f>IF(E61="Excelência",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61" s="258" t="str">
        <f>IF(E61="Intermediário", MAX(0, MIN(1, (Tabela746[[#This Row],[TCC 2024 (N)]]-Tabela746[[#This Row],[Linha de Base 2024 (N) ]])/(Tabela746[[#This Row],[Meta 2024 (N)]]-Tabela746[[#This Row],[Linha de Base 2024 (N) ]]))), "FALSO")</f>
        <v>FALSO</v>
      </c>
      <c r="L61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61" s="259">
        <f>SUM(Tabela746[[#This Row],[ICM Atribuído - Grupo 1]:[ICM Atribuído - Grupo 4]])</f>
        <v>1</v>
      </c>
      <c r="N61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61" s="258">
        <f>IF(Tabela746[[#This Row],[APLICANDO FORMULA GRUPO 3 - ENQUADRAMENTO]]&lt;0,0,Tabela746[[#This Row],[APLICANDO FORMULA GRUPO 3 - ENQUADRAMENTO]])</f>
        <v>1</v>
      </c>
    </row>
    <row r="62" spans="1:15">
      <c r="A62" s="385">
        <v>60</v>
      </c>
      <c r="B62" s="409" t="s">
        <v>83</v>
      </c>
      <c r="C62" s="381">
        <v>0.82137475901910084</v>
      </c>
      <c r="D62" s="258">
        <f t="shared" si="0"/>
        <v>82.137475901910079</v>
      </c>
      <c r="E62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62" s="320">
        <v>83.434650455927056</v>
      </c>
      <c r="G62" s="383">
        <f>Tabela746[[#This Row],[Meta 2024 (N)]]*$E$6</f>
        <v>54.842060000000004</v>
      </c>
      <c r="H62" s="386">
        <v>84.372399999999999</v>
      </c>
      <c r="I62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0.8</v>
      </c>
      <c r="J62" s="258" t="b">
        <f>IF(E62="Excelência",
   IF(Tabela746[[#This Row],[TCC 2024 (N)]]&gt;=Tabela746[[#This Row],[TCC 2023(n)]],1,
      IF(Tabela746[[#This Row],[TCC 2024 (N)]]&gt;=C56,0.95,
         IF(AND(Tabela746[[#This Row],[TCC 2024 (N)]]&lt;Tabela746[[#This Row],[TCC 2024]], Tabela746[[#This Row],[TCC 2024 (N)]]&gt;E55),0.85,
            IF(AND(Tabela746[[#This Row],[TCC 2024 (N)]]&lt;E55, Tabela746[[#This Row],[TCC 2024 (N)]]&gt;=C55),0.8, FALSE)
         )
      )
   )
)</f>
        <v>0</v>
      </c>
      <c r="K62" s="258" t="str">
        <f>IF(E62="Intermediário", MAX(0, MIN(1, (Tabela746[[#This Row],[TCC 2024 (N)]]-Tabela746[[#This Row],[Linha de Base 2024 (N) ]])/(Tabela746[[#This Row],[Meta 2024 (N)]]-Tabela746[[#This Row],[Linha de Base 2024 (N) ]]))), "FALSO")</f>
        <v>FALSO</v>
      </c>
      <c r="L62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62" s="259">
        <f>SUM(Tabela746[[#This Row],[ICM Atribuído - Grupo 1]:[ICM Atribuído - Grupo 4]])</f>
        <v>0.8</v>
      </c>
      <c r="N62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0.8</v>
      </c>
      <c r="O62" s="258">
        <f>IF(Tabela746[[#This Row],[APLICANDO FORMULA GRUPO 3 - ENQUADRAMENTO]]&lt;0,0,Tabela746[[#This Row],[APLICANDO FORMULA GRUPO 3 - ENQUADRAMENTO]])</f>
        <v>0.8</v>
      </c>
    </row>
    <row r="63" spans="1:15">
      <c r="A63" s="380">
        <v>61</v>
      </c>
      <c r="B63" s="408" t="s">
        <v>148</v>
      </c>
      <c r="C63" s="381">
        <v>0.61939400282589352</v>
      </c>
      <c r="D63" s="258">
        <f t="shared" si="0"/>
        <v>61.939400282589354</v>
      </c>
      <c r="E63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63" s="320">
        <v>65.517241379310349</v>
      </c>
      <c r="G63" s="383">
        <f>Tabela746[[#This Row],[Meta 2024 (N)]]*$E$6</f>
        <v>42.851120000000002</v>
      </c>
      <c r="H63" s="386">
        <v>65.924800000000005</v>
      </c>
      <c r="I63" s="258" t="b">
        <f>IF(E63="Referência",
   IF(Tabela746[[#This Row],[TCC 2024 (N)]]&gt;=Tabela746[[#This Row],[TCC 2023(n)]],1,
      IF(Tabela746[[#This Row],[TCC 2024 (N)]]&gt;=C57,0.95,
         IF(AND(Tabela746[[#This Row],[TCC 2024 (N)]]&lt;Tabela746[[#This Row],[TCC 2024]], Tabela746[[#This Row],[TCC 2024 (N)]]&gt;E56),0.85,
            IF(AND(Tabela746[[#This Row],[TCC 2024 (N)]]&lt;E56, Tabela746[[#This Row],[TCC 2024 (N)]]&gt;=C56),0.8, FALSE)
         )
      )
   )
)</f>
        <v>0</v>
      </c>
      <c r="J63" s="258" t="b">
        <f>IF(E63="Excelência",
   IF(Tabela746[[#This Row],[TCC 2024 (N)]]&gt;=Tabela746[[#This Row],[TCC 2023(n)]],1,
      IF(Tabela746[[#This Row],[TCC 2024 (N)]]&gt;=C57,0.95,
         IF(AND(Tabela746[[#This Row],[TCC 2024 (N)]]&lt;Tabela746[[#This Row],[TCC 2024]], Tabela746[[#This Row],[TCC 2024 (N)]]&gt;E56),0.85,
            IF(AND(Tabela746[[#This Row],[TCC 2024 (N)]]&lt;E56, Tabela746[[#This Row],[TCC 2024 (N)]]&gt;=C56),0.8, FALSE)
         )
      )
   )
)</f>
        <v>0</v>
      </c>
      <c r="K63" s="258">
        <f>IF(E63="Intermediário", MAX(0, MIN(1, (Tabela746[[#This Row],[TCC 2024 (N)]]-Tabela746[[#This Row],[Linha de Base 2024 (N) ]])/(Tabela746[[#This Row],[Meta 2024 (N)]]-Tabela746[[#This Row],[Linha de Base 2024 (N) ]]))), "FALSO")</f>
        <v>0.82727507196898586</v>
      </c>
      <c r="L63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63" s="259">
        <f>SUM(Tabela746[[#This Row],[ICM Atribuído - Grupo 1]:[ICM Atribuído - Grupo 4]])</f>
        <v>0.82727507196898586</v>
      </c>
      <c r="N63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63" s="258">
        <f>IF(Tabela746[[#This Row],[APLICANDO FORMULA GRUPO 3 - ENQUADRAMENTO]]&lt;0,0,Tabela746[[#This Row],[APLICANDO FORMULA GRUPO 3 - ENQUADRAMENTO]])</f>
        <v>1</v>
      </c>
    </row>
    <row r="64" spans="1:15">
      <c r="A64" s="385">
        <v>62</v>
      </c>
      <c r="B64" s="409" t="s">
        <v>218</v>
      </c>
      <c r="C64" s="381">
        <v>0.64292929292929291</v>
      </c>
      <c r="D64" s="258">
        <f t="shared" si="0"/>
        <v>64.292929292929287</v>
      </c>
      <c r="E64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64" s="320">
        <v>64.375</v>
      </c>
      <c r="G64" s="383">
        <f>Tabela746[[#This Row],[Meta 2024 (N)]]*$E$6</f>
        <v>42.176159999999996</v>
      </c>
      <c r="H64" s="386">
        <v>64.886399999999995</v>
      </c>
      <c r="I64" s="258" t="b">
        <f>IF(E64="Referência",
   IF(Tabela746[[#This Row],[TCC 2024 (N)]]&gt;=Tabela746[[#This Row],[TCC 2023(n)]],1,
      IF(Tabela746[[#This Row],[TCC 2024 (N)]]&gt;=C58,0.95,
         IF(AND(Tabela746[[#This Row],[TCC 2024 (N)]]&lt;Tabela746[[#This Row],[TCC 2024]], Tabela746[[#This Row],[TCC 2024 (N)]]&gt;E57),0.85,
            IF(AND(Tabela746[[#This Row],[TCC 2024 (N)]]&lt;E57, Tabela746[[#This Row],[TCC 2024 (N)]]&gt;=C57),0.8, FALSE)
         )
      )
   )
)</f>
        <v>0</v>
      </c>
      <c r="J64" s="258" t="b">
        <f>IF(E64="Excelência",
   IF(Tabela746[[#This Row],[TCC 2024 (N)]]&gt;=Tabela746[[#This Row],[TCC 2023(n)]],1,
      IF(Tabela746[[#This Row],[TCC 2024 (N)]]&gt;=C58,0.95,
         IF(AND(Tabela746[[#This Row],[TCC 2024 (N)]]&lt;Tabela746[[#This Row],[TCC 2024]], Tabela746[[#This Row],[TCC 2024 (N)]]&gt;E57),0.85,
            IF(AND(Tabela746[[#This Row],[TCC 2024 (N)]]&lt;E57, Tabela746[[#This Row],[TCC 2024 (N)]]&gt;=C57),0.8, FALSE)
         )
      )
   )
)</f>
        <v>0</v>
      </c>
      <c r="K64" s="258">
        <f>IF(E64="Intermediário", MAX(0, MIN(1, (Tabela746[[#This Row],[TCC 2024 (N)]]-Tabela746[[#This Row],[Linha de Base 2024 (N) ]])/(Tabela746[[#This Row],[Meta 2024 (N)]]-Tabela746[[#This Row],[Linha de Base 2024 (N) ]]))), "FALSO")</f>
        <v>0.9738677043012004</v>
      </c>
      <c r="L64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64" s="259">
        <f>SUM(Tabela746[[#This Row],[ICM Atribuído - Grupo 1]:[ICM Atribuído - Grupo 4]])</f>
        <v>0.9738677043012004</v>
      </c>
      <c r="N64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64" s="258">
        <f>IF(Tabela746[[#This Row],[APLICANDO FORMULA GRUPO 3 - ENQUADRAMENTO]]&lt;0,0,Tabela746[[#This Row],[APLICANDO FORMULA GRUPO 3 - ENQUADRAMENTO]])</f>
        <v>1</v>
      </c>
    </row>
    <row r="65" spans="1:15">
      <c r="A65" s="380">
        <v>63</v>
      </c>
      <c r="B65" s="408" t="s">
        <v>180</v>
      </c>
      <c r="C65" s="381">
        <v>0.67047619047619045</v>
      </c>
      <c r="D65" s="258">
        <f t="shared" si="0"/>
        <v>67.047619047619051</v>
      </c>
      <c r="E65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65" s="320">
        <v>52.747252747252752</v>
      </c>
      <c r="G65" s="383">
        <f>Tabela746[[#This Row],[Meta 2024 (N)]]*$E$6</f>
        <v>35.305205000000001</v>
      </c>
      <c r="H65" s="386">
        <v>54.3157</v>
      </c>
      <c r="I65" s="258" t="b">
        <f>IF(E65="Referência",
   IF(Tabela746[[#This Row],[TCC 2024 (N)]]&gt;=Tabela746[[#This Row],[TCC 2023(n)]],1,
      IF(Tabela746[[#This Row],[TCC 2024 (N)]]&gt;=C59,0.95,
         IF(AND(Tabela746[[#This Row],[TCC 2024 (N)]]&lt;Tabela746[[#This Row],[TCC 2024]], Tabela746[[#This Row],[TCC 2024 (N)]]&gt;E58),0.85,
            IF(AND(Tabela746[[#This Row],[TCC 2024 (N)]]&lt;E58, Tabela746[[#This Row],[TCC 2024 (N)]]&gt;=C58),0.8, FALSE)
         )
      )
   )
)</f>
        <v>0</v>
      </c>
      <c r="J65" s="258" t="b">
        <f>IF(E65="Excelência",
   IF(Tabela746[[#This Row],[TCC 2024 (N)]]&gt;=Tabela746[[#This Row],[TCC 2023(n)]],1,
      IF(Tabela746[[#This Row],[TCC 2024 (N)]]&gt;=C59,0.95,
         IF(AND(Tabela746[[#This Row],[TCC 2024 (N)]]&lt;Tabela746[[#This Row],[TCC 2024]], Tabela746[[#This Row],[TCC 2024 (N)]]&gt;E58),0.85,
            IF(AND(Tabela746[[#This Row],[TCC 2024 (N)]]&lt;E58, Tabela746[[#This Row],[TCC 2024 (N)]]&gt;=C58),0.8, FALSE)
         )
      )
   )
)</f>
        <v>0</v>
      </c>
      <c r="K65" s="258">
        <f>IF(E65="Intermediário", MAX(0, MIN(1, (Tabela746[[#This Row],[TCC 2024 (N)]]-Tabela746[[#This Row],[Linha de Base 2024 (N) ]])/(Tabela746[[#This Row],[Meta 2024 (N)]]-Tabela746[[#This Row],[Linha de Base 2024 (N) ]]))), "FALSO")</f>
        <v>1</v>
      </c>
      <c r="L65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65" s="259">
        <f>SUM(Tabela746[[#This Row],[ICM Atribuído - Grupo 1]:[ICM Atribuído - Grupo 4]])</f>
        <v>1</v>
      </c>
      <c r="N65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65" s="258">
        <f>IF(Tabela746[[#This Row],[APLICANDO FORMULA GRUPO 3 - ENQUADRAMENTO]]&lt;0,0,Tabela746[[#This Row],[APLICANDO FORMULA GRUPO 3 - ENQUADRAMENTO]])</f>
        <v>1</v>
      </c>
    </row>
    <row r="66" spans="1:15">
      <c r="A66" s="385">
        <v>64</v>
      </c>
      <c r="B66" s="409" t="s">
        <v>190</v>
      </c>
      <c r="C66" s="381">
        <v>0.61017536750635959</v>
      </c>
      <c r="D66" s="258">
        <f t="shared" si="0"/>
        <v>61.017536750635962</v>
      </c>
      <c r="E66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66" s="320">
        <v>56.623586429725357</v>
      </c>
      <c r="G66" s="383">
        <f>Tabela746[[#This Row],[Meta 2024 (N)]]*$E$6</f>
        <v>37.595739999999999</v>
      </c>
      <c r="H66" s="386">
        <v>57.839599999999997</v>
      </c>
      <c r="I66" s="258" t="b">
        <f>IF(E66="Referência",
   IF(Tabela746[[#This Row],[TCC 2024 (N)]]&gt;=Tabela746[[#This Row],[TCC 2023(n)]],1,
      IF(Tabela746[[#This Row],[TCC 2024 (N)]]&gt;=C60,0.95,
         IF(AND(Tabela746[[#This Row],[TCC 2024 (N)]]&lt;Tabela746[[#This Row],[TCC 2024]], Tabela746[[#This Row],[TCC 2024 (N)]]&gt;E59),0.85,
            IF(AND(Tabela746[[#This Row],[TCC 2024 (N)]]&lt;E59, Tabela746[[#This Row],[TCC 2024 (N)]]&gt;=C59),0.8, FALSE)
         )
      )
   )
)</f>
        <v>0</v>
      </c>
      <c r="J66" s="258" t="b">
        <f>IF(E66="Excelência",
   IF(Tabela746[[#This Row],[TCC 2024 (N)]]&gt;=Tabela746[[#This Row],[TCC 2023(n)]],1,
      IF(Tabela746[[#This Row],[TCC 2024 (N)]]&gt;=C60,0.95,
         IF(AND(Tabela746[[#This Row],[TCC 2024 (N)]]&lt;Tabela746[[#This Row],[TCC 2024]], Tabela746[[#This Row],[TCC 2024 (N)]]&gt;E59),0.85,
            IF(AND(Tabela746[[#This Row],[TCC 2024 (N)]]&lt;E59, Tabela746[[#This Row],[TCC 2024 (N)]]&gt;=C59),0.8, FALSE)
         )
      )
   )
)</f>
        <v>0</v>
      </c>
      <c r="K66" s="258">
        <f>IF(E66="Intermediário", MAX(0, MIN(1, (Tabela746[[#This Row],[TCC 2024 (N)]]-Tabela746[[#This Row],[Linha de Base 2024 (N) ]])/(Tabela746[[#This Row],[Meta 2024 (N)]]-Tabela746[[#This Row],[Linha de Base 2024 (N) ]]))), "FALSO")</f>
        <v>1</v>
      </c>
      <c r="L66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66" s="259">
        <f>SUM(Tabela746[[#This Row],[ICM Atribuído - Grupo 1]:[ICM Atribuído - Grupo 4]])</f>
        <v>1</v>
      </c>
      <c r="N66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66" s="258">
        <f>IF(Tabela746[[#This Row],[APLICANDO FORMULA GRUPO 3 - ENQUADRAMENTO]]&lt;0,0,Tabela746[[#This Row],[APLICANDO FORMULA GRUPO 3 - ENQUADRAMENTO]])</f>
        <v>1</v>
      </c>
    </row>
    <row r="67" spans="1:15">
      <c r="A67" s="380">
        <v>65</v>
      </c>
      <c r="B67" s="408" t="s">
        <v>187</v>
      </c>
      <c r="C67" s="381">
        <v>0.76010273972602738</v>
      </c>
      <c r="D67" s="258">
        <f t="shared" si="0"/>
        <v>76.010273972602732</v>
      </c>
      <c r="E67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67" s="320">
        <v>68.721461187214615</v>
      </c>
      <c r="G67" s="383">
        <f>Tabela746[[#This Row],[Meta 2024 (N)]]*$E$6</f>
        <v>44.744505000000004</v>
      </c>
      <c r="H67" s="386">
        <v>68.837699999999998</v>
      </c>
      <c r="I67" s="258" t="b">
        <f>IF(E67="Referência",
   IF(Tabela746[[#This Row],[TCC 2024 (N)]]&gt;=Tabela746[[#This Row],[TCC 2023(n)]],1,
      IF(Tabela746[[#This Row],[TCC 2024 (N)]]&gt;=C61,0.95,
         IF(AND(Tabela746[[#This Row],[TCC 2024 (N)]]&lt;Tabela746[[#This Row],[TCC 2024]], Tabela746[[#This Row],[TCC 2024 (N)]]&gt;E60),0.85,
            IF(AND(Tabela746[[#This Row],[TCC 2024 (N)]]&lt;E60, Tabela746[[#This Row],[TCC 2024 (N)]]&gt;=C60),0.8, FALSE)
         )
      )
   )
)</f>
        <v>0</v>
      </c>
      <c r="J67" s="258">
        <f>IF(E67="Excelência",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67" s="258" t="str">
        <f>IF(E67="Intermediário", MAX(0, MIN(1, (Tabela746[[#This Row],[TCC 2024 (N)]]-Tabela746[[#This Row],[Linha de Base 2024 (N) ]])/(Tabela746[[#This Row],[Meta 2024 (N)]]-Tabela746[[#This Row],[Linha de Base 2024 (N) ]]))), "FALSO")</f>
        <v>FALSO</v>
      </c>
      <c r="L67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67" s="259">
        <f>SUM(Tabela746[[#This Row],[ICM Atribuído - Grupo 1]:[ICM Atribuído - Grupo 4]])</f>
        <v>1</v>
      </c>
      <c r="N67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67" s="258">
        <f>IF(Tabela746[[#This Row],[APLICANDO FORMULA GRUPO 3 - ENQUADRAMENTO]]&lt;0,0,Tabela746[[#This Row],[APLICANDO FORMULA GRUPO 3 - ENQUADRAMENTO]])</f>
        <v>1</v>
      </c>
    </row>
    <row r="68" spans="1:15">
      <c r="A68" s="385">
        <v>66</v>
      </c>
      <c r="B68" s="409" t="s">
        <v>224</v>
      </c>
      <c r="C68" s="381">
        <v>0.63436196926762967</v>
      </c>
      <c r="D68" s="258">
        <f t="shared" si="0"/>
        <v>63.436196926762968</v>
      </c>
      <c r="E68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68" s="320">
        <v>51.840490797546011</v>
      </c>
      <c r="G68" s="383">
        <f>Tabela746[[#This Row],[Meta 2024 (N)]]*$E$6</f>
        <v>34.769410000000001</v>
      </c>
      <c r="H68" s="386">
        <v>53.491399999999999</v>
      </c>
      <c r="I68" s="258" t="b">
        <f>IF(E68="Referência",
   IF(Tabela746[[#This Row],[TCC 2024 (N)]]&gt;=Tabela746[[#This Row],[TCC 2023(n)]],1,
      IF(Tabela746[[#This Row],[TCC 2024 (N)]]&gt;=C62,0.95,
         IF(AND(Tabela746[[#This Row],[TCC 2024 (N)]]&lt;Tabela746[[#This Row],[TCC 2024]], Tabela746[[#This Row],[TCC 2024 (N)]]&gt;E61),0.85,
            IF(AND(Tabela746[[#This Row],[TCC 2024 (N)]]&lt;E61, Tabela746[[#This Row],[TCC 2024 (N)]]&gt;=C61),0.8, FALSE)
         )
      )
   )
)</f>
        <v>0</v>
      </c>
      <c r="J68" s="258" t="b">
        <f>IF(E68="Excelência",
   IF(Tabela746[[#This Row],[TCC 2024 (N)]]&gt;=Tabela746[[#This Row],[TCC 2023(n)]],1,
      IF(Tabela746[[#This Row],[TCC 2024 (N)]]&gt;=C62,0.95,
         IF(AND(Tabela746[[#This Row],[TCC 2024 (N)]]&lt;Tabela746[[#This Row],[TCC 2024]], Tabela746[[#This Row],[TCC 2024 (N)]]&gt;E61),0.85,
            IF(AND(Tabela746[[#This Row],[TCC 2024 (N)]]&lt;E61, Tabela746[[#This Row],[TCC 2024 (N)]]&gt;=C61),0.8, FALSE)
         )
      )
   )
)</f>
        <v>0</v>
      </c>
      <c r="K68" s="258">
        <f>IF(E68="Intermediário", MAX(0, MIN(1, (Tabela746[[#This Row],[TCC 2024 (N)]]-Tabela746[[#This Row],[Linha de Base 2024 (N) ]])/(Tabela746[[#This Row],[Meta 2024 (N)]]-Tabela746[[#This Row],[Linha de Base 2024 (N) ]]))), "FALSO")</f>
        <v>1</v>
      </c>
      <c r="L68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68" s="259">
        <f>SUM(Tabela746[[#This Row],[ICM Atribuído - Grupo 1]:[ICM Atribuído - Grupo 4]])</f>
        <v>1</v>
      </c>
      <c r="N68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68" s="258">
        <f>IF(Tabela746[[#This Row],[APLICANDO FORMULA GRUPO 3 - ENQUADRAMENTO]]&lt;0,0,Tabela746[[#This Row],[APLICANDO FORMULA GRUPO 3 - ENQUADRAMENTO]])</f>
        <v>1</v>
      </c>
    </row>
    <row r="69" spans="1:15">
      <c r="A69" s="380">
        <v>67</v>
      </c>
      <c r="B69" s="408" t="s">
        <v>161</v>
      </c>
      <c r="C69" s="381">
        <v>0.70870433789954346</v>
      </c>
      <c r="D69" s="258">
        <f t="shared" si="0"/>
        <v>70.870433789954348</v>
      </c>
      <c r="E69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69" s="320">
        <v>67.415730337078656</v>
      </c>
      <c r="G69" s="383">
        <f>Tabela746[[#This Row],[Meta 2024 (N)]]*$E$6</f>
        <v>43.972954999999999</v>
      </c>
      <c r="H69" s="386">
        <v>67.650700000000001</v>
      </c>
      <c r="I69" s="258" t="b">
        <f>IF(E69="Referência",
   IF(Tabela746[[#This Row],[TCC 2024 (N)]]&gt;=Tabela746[[#This Row],[TCC 2023(n)]],1,
      IF(Tabela746[[#This Row],[TCC 2024 (N)]]&gt;=C63,0.95,
         IF(AND(Tabela746[[#This Row],[TCC 2024 (N)]]&lt;Tabela746[[#This Row],[TCC 2024]], Tabela746[[#This Row],[TCC 2024 (N)]]&gt;E62),0.85,
            IF(AND(Tabela746[[#This Row],[TCC 2024 (N)]]&lt;E62, Tabela746[[#This Row],[TCC 2024 (N)]]&gt;=C62),0.8, FALSE)
         )
      )
   )
)</f>
        <v>0</v>
      </c>
      <c r="J69" s="258">
        <f>IF(E69="Excelência",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69" s="258" t="str">
        <f>IF(E69="Intermediário", MAX(0, MIN(1, (Tabela746[[#This Row],[TCC 2024 (N)]]-Tabela746[[#This Row],[Linha de Base 2024 (N) ]])/(Tabela746[[#This Row],[Meta 2024 (N)]]-Tabela746[[#This Row],[Linha de Base 2024 (N) ]]))), "FALSO")</f>
        <v>FALSO</v>
      </c>
      <c r="L69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69" s="259">
        <f>SUM(Tabela746[[#This Row],[ICM Atribuído - Grupo 1]:[ICM Atribuído - Grupo 4]])</f>
        <v>1</v>
      </c>
      <c r="N69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69" s="258">
        <f>IF(Tabela746[[#This Row],[APLICANDO FORMULA GRUPO 3 - ENQUADRAMENTO]]&lt;0,0,Tabela746[[#This Row],[APLICANDO FORMULA GRUPO 3 - ENQUADRAMENTO]])</f>
        <v>1</v>
      </c>
    </row>
    <row r="70" spans="1:15">
      <c r="A70" s="385">
        <v>68</v>
      </c>
      <c r="B70" s="409" t="s">
        <v>92</v>
      </c>
      <c r="C70" s="381">
        <v>0.74233591204309179</v>
      </c>
      <c r="D70" s="258">
        <f t="shared" si="0"/>
        <v>74.233591204309178</v>
      </c>
      <c r="E70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70" s="320">
        <v>64.81178396072012</v>
      </c>
      <c r="G70" s="383">
        <f>Tabela746[[#This Row],[Meta 2024 (N)]]*$E$6</f>
        <v>42.43421</v>
      </c>
      <c r="H70" s="386">
        <v>65.2834</v>
      </c>
      <c r="I70" s="258" t="b">
        <f>IF(E70="Referência",
   IF(Tabela746[[#This Row],[TCC 2024 (N)]]&gt;=Tabela746[[#This Row],[TCC 2023(n)]],1,
      IF(Tabela746[[#This Row],[TCC 2024 (N)]]&gt;=C64,0.95,
         IF(AND(Tabela746[[#This Row],[TCC 2024 (N)]]&lt;Tabela746[[#This Row],[TCC 2024]], Tabela746[[#This Row],[TCC 2024 (N)]]&gt;E63),0.85,
            IF(AND(Tabela746[[#This Row],[TCC 2024 (N)]]&lt;E63, Tabela746[[#This Row],[TCC 2024 (N)]]&gt;=C63),0.8, FALSE)
         )
      )
   )
)</f>
        <v>0</v>
      </c>
      <c r="J70" s="258">
        <f>IF(E70="Excelência",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70" s="258" t="str">
        <f>IF(E70="Intermediário", MAX(0, MIN(1, (Tabela746[[#This Row],[TCC 2024 (N)]]-Tabela746[[#This Row],[Linha de Base 2024 (N) ]])/(Tabela746[[#This Row],[Meta 2024 (N)]]-Tabela746[[#This Row],[Linha de Base 2024 (N) ]]))), "FALSO")</f>
        <v>FALSO</v>
      </c>
      <c r="L70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70" s="259">
        <f>SUM(Tabela746[[#This Row],[ICM Atribuído - Grupo 1]:[ICM Atribuído - Grupo 4]])</f>
        <v>1</v>
      </c>
      <c r="N70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70" s="258">
        <f>IF(Tabela746[[#This Row],[APLICANDO FORMULA GRUPO 3 - ENQUADRAMENTO]]&lt;0,0,Tabela746[[#This Row],[APLICANDO FORMULA GRUPO 3 - ENQUADRAMENTO]])</f>
        <v>1</v>
      </c>
    </row>
    <row r="71" spans="1:15">
      <c r="A71" s="380">
        <v>69</v>
      </c>
      <c r="B71" s="408" t="s">
        <v>226</v>
      </c>
      <c r="C71" s="381">
        <v>1</v>
      </c>
      <c r="D71" s="258">
        <f t="shared" si="0"/>
        <v>100</v>
      </c>
      <c r="E71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71" s="320">
        <v>62.857142857142854</v>
      </c>
      <c r="G71" s="383">
        <f>Tabela746[[#This Row],[Meta 2024 (N)]]*$E$6</f>
        <v>41.279225000000004</v>
      </c>
      <c r="H71" s="386">
        <v>63.506500000000003</v>
      </c>
      <c r="I71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71" s="258" t="b">
        <f>IF(E71="Excelência",
   IF(Tabela746[[#This Row],[TCC 2024 (N)]]&gt;=Tabela746[[#This Row],[TCC 2023(n)]],1,
      IF(Tabela746[[#This Row],[TCC 2024 (N)]]&gt;=C65,0.95,
         IF(AND(Tabela746[[#This Row],[TCC 2024 (N)]]&lt;Tabela746[[#This Row],[TCC 2024]], Tabela746[[#This Row],[TCC 2024 (N)]]&gt;E64),0.85,
            IF(AND(Tabela746[[#This Row],[TCC 2024 (N)]]&lt;E64, Tabela746[[#This Row],[TCC 2024 (N)]]&gt;=C64),0.8, FALSE)
         )
      )
   )
)</f>
        <v>0</v>
      </c>
      <c r="K71" s="258" t="str">
        <f>IF(E71="Intermediário", MAX(0, MIN(1, (Tabela746[[#This Row],[TCC 2024 (N)]]-Tabela746[[#This Row],[Linha de Base 2024 (N) ]])/(Tabela746[[#This Row],[Meta 2024 (N)]]-Tabela746[[#This Row],[Linha de Base 2024 (N) ]]))), "FALSO")</f>
        <v>FALSO</v>
      </c>
      <c r="L71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71" s="259">
        <f>SUM(Tabela746[[#This Row],[ICM Atribuído - Grupo 1]:[ICM Atribuído - Grupo 4]])</f>
        <v>1</v>
      </c>
      <c r="N71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71" s="258">
        <f>IF(Tabela746[[#This Row],[APLICANDO FORMULA GRUPO 3 - ENQUADRAMENTO]]&lt;0,0,Tabela746[[#This Row],[APLICANDO FORMULA GRUPO 3 - ENQUADRAMENTO]])</f>
        <v>1</v>
      </c>
    </row>
    <row r="72" spans="1:15">
      <c r="A72" s="385">
        <v>70</v>
      </c>
      <c r="B72" s="409" t="s">
        <v>158</v>
      </c>
      <c r="C72" s="381">
        <v>0.70390653822504612</v>
      </c>
      <c r="D72" s="258">
        <f t="shared" si="0"/>
        <v>70.390653822504618</v>
      </c>
      <c r="E72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72" s="320">
        <v>62.033898305084747</v>
      </c>
      <c r="G72" s="383">
        <f>Tabela746[[#This Row],[Meta 2024 (N)]]*$E$6</f>
        <v>40.792765000000003</v>
      </c>
      <c r="H72" s="386">
        <v>62.758099999999999</v>
      </c>
      <c r="I72" s="258" t="b">
        <f>IF(E72="Referência",
   IF(Tabela746[[#This Row],[TCC 2024 (N)]]&gt;=Tabela746[[#This Row],[TCC 2023(n)]],1,
      IF(Tabela746[[#This Row],[TCC 2024 (N)]]&gt;=C66,0.95,
         IF(AND(Tabela746[[#This Row],[TCC 2024 (N)]]&lt;Tabela746[[#This Row],[TCC 2024]], Tabela746[[#This Row],[TCC 2024 (N)]]&gt;E65),0.85,
            IF(AND(Tabela746[[#This Row],[TCC 2024 (N)]]&lt;E65, Tabela746[[#This Row],[TCC 2024 (N)]]&gt;=C65),0.8, FALSE)
         )
      )
   )
)</f>
        <v>0</v>
      </c>
      <c r="J72" s="258">
        <f>IF(E72="Excelência",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72" s="258" t="str">
        <f>IF(E72="Intermediário", MAX(0, MIN(1, (Tabela746[[#This Row],[TCC 2024 (N)]]-Tabela746[[#This Row],[Linha de Base 2024 (N) ]])/(Tabela746[[#This Row],[Meta 2024 (N)]]-Tabela746[[#This Row],[Linha de Base 2024 (N) ]]))), "FALSO")</f>
        <v>FALSO</v>
      </c>
      <c r="L72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72" s="259">
        <f>SUM(Tabela746[[#This Row],[ICM Atribuído - Grupo 1]:[ICM Atribuído - Grupo 4]])</f>
        <v>1</v>
      </c>
      <c r="N72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72" s="258">
        <f>IF(Tabela746[[#This Row],[APLICANDO FORMULA GRUPO 3 - ENQUADRAMENTO]]&lt;0,0,Tabela746[[#This Row],[APLICANDO FORMULA GRUPO 3 - ENQUADRAMENTO]])</f>
        <v>1</v>
      </c>
    </row>
    <row r="73" spans="1:15">
      <c r="A73" s="380">
        <v>71</v>
      </c>
      <c r="B73" s="408" t="s">
        <v>25</v>
      </c>
      <c r="C73" s="381">
        <v>0.92452830188679247</v>
      </c>
      <c r="D73" s="258">
        <f t="shared" si="0"/>
        <v>92.452830188679243</v>
      </c>
      <c r="E73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73" s="320">
        <v>76.878612716763001</v>
      </c>
      <c r="G73" s="383">
        <f>Tabela746[[#This Row],[Meta 2024 (N)]]*$E$6</f>
        <v>49.976419999999997</v>
      </c>
      <c r="H73" s="386">
        <v>76.886799999999994</v>
      </c>
      <c r="I73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73" s="258" t="b">
        <f>IF(E73="Excelência",
   IF(Tabela746[[#This Row],[TCC 2024 (N)]]&gt;=Tabela746[[#This Row],[TCC 2023(n)]],1,
      IF(Tabela746[[#This Row],[TCC 2024 (N)]]&gt;=C67,0.95,
         IF(AND(Tabela746[[#This Row],[TCC 2024 (N)]]&lt;Tabela746[[#This Row],[TCC 2024]], Tabela746[[#This Row],[TCC 2024 (N)]]&gt;E66),0.85,
            IF(AND(Tabela746[[#This Row],[TCC 2024 (N)]]&lt;E66, Tabela746[[#This Row],[TCC 2024 (N)]]&gt;=C66),0.8, FALSE)
         )
      )
   )
)</f>
        <v>0</v>
      </c>
      <c r="K73" s="258" t="str">
        <f>IF(E73="Intermediário", MAX(0, MIN(1, (Tabela746[[#This Row],[TCC 2024 (N)]]-Tabela746[[#This Row],[Linha de Base 2024 (N) ]])/(Tabela746[[#This Row],[Meta 2024 (N)]]-Tabela746[[#This Row],[Linha de Base 2024 (N) ]]))), "FALSO")</f>
        <v>FALSO</v>
      </c>
      <c r="L73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73" s="259">
        <f>SUM(Tabela746[[#This Row],[ICM Atribuído - Grupo 1]:[ICM Atribuído - Grupo 4]])</f>
        <v>1</v>
      </c>
      <c r="N73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73" s="258">
        <f>IF(Tabela746[[#This Row],[APLICANDO FORMULA GRUPO 3 - ENQUADRAMENTO]]&lt;0,0,Tabela746[[#This Row],[APLICANDO FORMULA GRUPO 3 - ENQUADRAMENTO]])</f>
        <v>1</v>
      </c>
    </row>
    <row r="74" spans="1:15">
      <c r="A74" s="385">
        <v>72</v>
      </c>
      <c r="B74" s="409" t="s">
        <v>220</v>
      </c>
      <c r="C74" s="381">
        <v>0.44642857142857145</v>
      </c>
      <c r="D74" s="258">
        <f t="shared" si="0"/>
        <v>44.642857142857146</v>
      </c>
      <c r="E74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74" s="320">
        <v>48.587570621468927</v>
      </c>
      <c r="G74" s="383">
        <f>Tabela746[[#This Row],[Meta 2024 (N)]]*$E$6</f>
        <v>32.847230000000003</v>
      </c>
      <c r="H74" s="386">
        <v>50.534199999999998</v>
      </c>
      <c r="I74" s="258" t="b">
        <f>IF(E74="Referência",
   IF(Tabela746[[#This Row],[TCC 2024 (N)]]&gt;=Tabela746[[#This Row],[TCC 2023(n)]],1,
      IF(Tabela746[[#This Row],[TCC 2024 (N)]]&gt;=C67,0.95,
         IF(AND(Tabela746[[#This Row],[TCC 2024 (N)]]&lt;Tabela746[[#This Row],[TCC 2024]], Tabela746[[#This Row],[TCC 2024 (N)]]&gt;E66),0.85,
            IF(AND(Tabela746[[#This Row],[TCC 2024 (N)]]&lt;E66, Tabela746[[#This Row],[TCC 2024 (N)]]&gt;=C66),0.8, FALSE)
         )
      )
   )
)</f>
        <v>0</v>
      </c>
      <c r="J74" s="258" t="b">
        <f>IF(E74="Excelência",
   IF(Tabela746[[#This Row],[TCC 2024 (N)]]&gt;=Tabela746[[#This Row],[TCC 2023(n)]],1,
      IF(Tabela746[[#This Row],[TCC 2024 (N)]]&gt;=C67,0.95,
         IF(AND(Tabela746[[#This Row],[TCC 2024 (N)]]&lt;Tabela746[[#This Row],[TCC 2024]], Tabela746[[#This Row],[TCC 2024 (N)]]&gt;E66),0.85,
            IF(AND(Tabela746[[#This Row],[TCC 2024 (N)]]&lt;E66, Tabela746[[#This Row],[TCC 2024 (N)]]&gt;=C66),0.8, FALSE)
         )
      )
   )
)</f>
        <v>0</v>
      </c>
      <c r="K74" s="258">
        <f>IF(E74="Intermediário", MAX(0, MIN(1, (Tabela746[[#This Row],[TCC 2024 (N)]]-Tabela746[[#This Row],[Linha de Base 2024 (N) ]])/(Tabela746[[#This Row],[Meta 2024 (N)]]-Tabela746[[#This Row],[Linha de Base 2024 (N) ]]))), "FALSO")</f>
        <v>0.66691056426607531</v>
      </c>
      <c r="L74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74" s="259">
        <f>SUM(Tabela746[[#This Row],[ICM Atribuído - Grupo 1]:[ICM Atribuído - Grupo 4]])</f>
        <v>0.66691056426607531</v>
      </c>
      <c r="N74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0.75</v>
      </c>
      <c r="O74" s="258">
        <f>IF(Tabela746[[#This Row],[APLICANDO FORMULA GRUPO 3 - ENQUADRAMENTO]]&lt;0,0,Tabela746[[#This Row],[APLICANDO FORMULA GRUPO 3 - ENQUADRAMENTO]])</f>
        <v>0.75</v>
      </c>
    </row>
    <row r="75" spans="1:15">
      <c r="A75" s="380">
        <v>73</v>
      </c>
      <c r="B75" s="408" t="s">
        <v>93</v>
      </c>
      <c r="C75" s="381">
        <v>0.78474345905538567</v>
      </c>
      <c r="D75" s="258">
        <f t="shared" ref="D75:D138" si="1">C75*100</f>
        <v>78.47434590553857</v>
      </c>
      <c r="E75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75" s="320">
        <v>61.557788944723612</v>
      </c>
      <c r="G75" s="383">
        <f>Tabela746[[#This Row],[Meta 2024 (N)]]*$E$6</f>
        <v>40.511445000000002</v>
      </c>
      <c r="H75" s="386">
        <v>62.325299999999999</v>
      </c>
      <c r="I75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75" s="258" t="b">
        <f>IF(E75="Excelência",
   IF(Tabela746[[#This Row],[TCC 2024 (N)]]&gt;=Tabela746[[#This Row],[TCC 2023(n)]],1,
      IF(Tabela746[[#This Row],[TCC 2024 (N)]]&gt;=C69,0.95,
         IF(AND(Tabela746[[#This Row],[TCC 2024 (N)]]&lt;Tabela746[[#This Row],[TCC 2024]], Tabela746[[#This Row],[TCC 2024 (N)]]&gt;E68),0.85,
            IF(AND(Tabela746[[#This Row],[TCC 2024 (N)]]&lt;E68, Tabela746[[#This Row],[TCC 2024 (N)]]&gt;=C68),0.8, FALSE)
         )
      )
   )
)</f>
        <v>0</v>
      </c>
      <c r="K75" s="258" t="str">
        <f>IF(E75="Intermediário", MAX(0, MIN(1, (Tabela746[[#This Row],[TCC 2024 (N)]]-Tabela746[[#This Row],[Linha de Base 2024 (N) ]])/(Tabela746[[#This Row],[Meta 2024 (N)]]-Tabela746[[#This Row],[Linha de Base 2024 (N) ]]))), "FALSO")</f>
        <v>FALSO</v>
      </c>
      <c r="L75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75" s="259">
        <f>SUM(Tabela746[[#This Row],[ICM Atribuído - Grupo 1]:[ICM Atribuído - Grupo 4]])</f>
        <v>1</v>
      </c>
      <c r="N75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75" s="258">
        <f>IF(Tabela746[[#This Row],[APLICANDO FORMULA GRUPO 3 - ENQUADRAMENTO]]&lt;0,0,Tabela746[[#This Row],[APLICANDO FORMULA GRUPO 3 - ENQUADRAMENTO]])</f>
        <v>1</v>
      </c>
    </row>
    <row r="76" spans="1:15">
      <c r="A76" s="385">
        <v>74</v>
      </c>
      <c r="B76" s="409" t="s">
        <v>191</v>
      </c>
      <c r="C76" s="381">
        <v>0.67696068124474351</v>
      </c>
      <c r="D76" s="258">
        <f t="shared" si="1"/>
        <v>67.696068124474351</v>
      </c>
      <c r="E76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76" s="320">
        <v>63.033175355450233</v>
      </c>
      <c r="G76" s="383">
        <f>Tabela746[[#This Row],[Meta 2024 (N)]]*$E$6</f>
        <v>41.383225000000003</v>
      </c>
      <c r="H76" s="386">
        <v>63.666499999999999</v>
      </c>
      <c r="I76" s="258" t="b">
        <f>IF(E76="Referência",
   IF(Tabela746[[#This Row],[TCC 2024 (N)]]&gt;=Tabela746[[#This Row],[TCC 2023(n)]],1,
      IF(Tabela746[[#This Row],[TCC 2024 (N)]]&gt;=C70,0.95,
         IF(AND(Tabela746[[#This Row],[TCC 2024 (N)]]&lt;Tabela746[[#This Row],[TCC 2024]], Tabela746[[#This Row],[TCC 2024 (N)]]&gt;E69),0.85,
            IF(AND(Tabela746[[#This Row],[TCC 2024 (N)]]&lt;E69, Tabela746[[#This Row],[TCC 2024 (N)]]&gt;=C69),0.8, FALSE)
         )
      )
   )
)</f>
        <v>0</v>
      </c>
      <c r="J76" s="258" t="b">
        <f>IF(E76="Excelência",
   IF(Tabela746[[#This Row],[TCC 2024 (N)]]&gt;=Tabela746[[#This Row],[TCC 2023(n)]],1,
      IF(Tabela746[[#This Row],[TCC 2024 (N)]]&gt;=C70,0.95,
         IF(AND(Tabela746[[#This Row],[TCC 2024 (N)]]&lt;Tabela746[[#This Row],[TCC 2024]], Tabela746[[#This Row],[TCC 2024 (N)]]&gt;E69),0.85,
            IF(AND(Tabela746[[#This Row],[TCC 2024 (N)]]&lt;E69, Tabela746[[#This Row],[TCC 2024 (N)]]&gt;=C69),0.8, FALSE)
         )
      )
   )
)</f>
        <v>0</v>
      </c>
      <c r="K76" s="258">
        <f>IF(E76="Intermediário", MAX(0, MIN(1, (Tabela746[[#This Row],[TCC 2024 (N)]]-Tabela746[[#This Row],[Linha de Base 2024 (N) ]])/(Tabela746[[#This Row],[Meta 2024 (N)]]-Tabela746[[#This Row],[Linha de Base 2024 (N) ]]))), "FALSO")</f>
        <v>1</v>
      </c>
      <c r="L76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76" s="259">
        <f>SUM(Tabela746[[#This Row],[ICM Atribuído - Grupo 1]:[ICM Atribuído - Grupo 4]])</f>
        <v>1</v>
      </c>
      <c r="N76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76" s="258">
        <f>IF(Tabela746[[#This Row],[APLICANDO FORMULA GRUPO 3 - ENQUADRAMENTO]]&lt;0,0,Tabela746[[#This Row],[APLICANDO FORMULA GRUPO 3 - ENQUADRAMENTO]])</f>
        <v>1</v>
      </c>
    </row>
    <row r="77" spans="1:15">
      <c r="A77" s="380">
        <v>75</v>
      </c>
      <c r="B77" s="408" t="s">
        <v>4</v>
      </c>
      <c r="C77" s="381">
        <v>0.87708333333333333</v>
      </c>
      <c r="D77" s="258">
        <f t="shared" si="1"/>
        <v>87.708333333333329</v>
      </c>
      <c r="E77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77" s="320">
        <v>80.645161290322577</v>
      </c>
      <c r="G77" s="383">
        <f>Tabela746[[#This Row],[Meta 2024 (N)]]*$E$6</f>
        <v>53.193725000000001</v>
      </c>
      <c r="H77" s="386">
        <v>81.836500000000001</v>
      </c>
      <c r="I77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77" s="258" t="b">
        <f>IF(E77="Excelência",
   IF(Tabela746[[#This Row],[TCC 2024 (N)]]&gt;=Tabela746[[#This Row],[TCC 2023(n)]],1,
      IF(Tabela746[[#This Row],[TCC 2024 (N)]]&gt;=C71,0.95,
         IF(AND(Tabela746[[#This Row],[TCC 2024 (N)]]&lt;Tabela746[[#This Row],[TCC 2024]], Tabela746[[#This Row],[TCC 2024 (N)]]&gt;E70),0.85,
            IF(AND(Tabela746[[#This Row],[TCC 2024 (N)]]&lt;E70, Tabela746[[#This Row],[TCC 2024 (N)]]&gt;=C70),0.8, FALSE)
         )
      )
   )
)</f>
        <v>0</v>
      </c>
      <c r="K77" s="258" t="str">
        <f>IF(E77="Intermediário", MAX(0, MIN(1, (Tabela746[[#This Row],[TCC 2024 (N)]]-Tabela746[[#This Row],[Linha de Base 2024 (N) ]])/(Tabela746[[#This Row],[Meta 2024 (N)]]-Tabela746[[#This Row],[Linha de Base 2024 (N) ]]))), "FALSO")</f>
        <v>FALSO</v>
      </c>
      <c r="L77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77" s="259">
        <f>SUM(Tabela746[[#This Row],[ICM Atribuído - Grupo 1]:[ICM Atribuído - Grupo 4]])</f>
        <v>1</v>
      </c>
      <c r="N77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77" s="258">
        <f>IF(Tabela746[[#This Row],[APLICANDO FORMULA GRUPO 3 - ENQUADRAMENTO]]&lt;0,0,Tabela746[[#This Row],[APLICANDO FORMULA GRUPO 3 - ENQUADRAMENTO]])</f>
        <v>1</v>
      </c>
    </row>
    <row r="78" spans="1:15">
      <c r="A78" s="385">
        <v>76</v>
      </c>
      <c r="B78" s="409" t="s">
        <v>128</v>
      </c>
      <c r="C78" s="381">
        <v>0.68296299897894686</v>
      </c>
      <c r="D78" s="258">
        <f t="shared" si="1"/>
        <v>68.296299897894684</v>
      </c>
      <c r="E78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78" s="320">
        <v>66.666666666666657</v>
      </c>
      <c r="G78" s="383">
        <f>Tabela746[[#This Row],[Meta 2024 (N)]]*$E$6</f>
        <v>43.530305000000006</v>
      </c>
      <c r="H78" s="386">
        <v>66.969700000000003</v>
      </c>
      <c r="I78" s="258" t="b">
        <f>IF(E78="Referência",
   IF(Tabela746[[#This Row],[TCC 2024 (N)]]&gt;=Tabela746[[#This Row],[TCC 2023(n)]],1,
      IF(Tabela746[[#This Row],[TCC 2024 (N)]]&gt;=C72,0.95,
         IF(AND(Tabela746[[#This Row],[TCC 2024 (N)]]&lt;Tabela746[[#This Row],[TCC 2024]], Tabela746[[#This Row],[TCC 2024 (N)]]&gt;E71),0.85,
            IF(AND(Tabela746[[#This Row],[TCC 2024 (N)]]&lt;E71, Tabela746[[#This Row],[TCC 2024 (N)]]&gt;=C71),0.8, FALSE)
         )
      )
   )
)</f>
        <v>0</v>
      </c>
      <c r="J78" s="258" t="b">
        <f>IF(E78="Excelência",
   IF(Tabela746[[#This Row],[TCC 2024 (N)]]&gt;=Tabela746[[#This Row],[TCC 2023(n)]],1,
      IF(Tabela746[[#This Row],[TCC 2024 (N)]]&gt;=C72,0.95,
         IF(AND(Tabela746[[#This Row],[TCC 2024 (N)]]&lt;Tabela746[[#This Row],[TCC 2024]], Tabela746[[#This Row],[TCC 2024 (N)]]&gt;E71),0.85,
            IF(AND(Tabela746[[#This Row],[TCC 2024 (N)]]&lt;E71, Tabela746[[#This Row],[TCC 2024 (N)]]&gt;=C71),0.8, FALSE)
         )
      )
   )
)</f>
        <v>0</v>
      </c>
      <c r="K78" s="258">
        <f>IF(E78="Intermediário", MAX(0, MIN(1, (Tabela746[[#This Row],[TCC 2024 (N)]]-Tabela746[[#This Row],[Linha de Base 2024 (N) ]])/(Tabela746[[#This Row],[Meta 2024 (N)]]-Tabela746[[#This Row],[Linha de Base 2024 (N) ]]))), "FALSO")</f>
        <v>1</v>
      </c>
      <c r="L78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78" s="259">
        <f>SUM(Tabela746[[#This Row],[ICM Atribuído - Grupo 1]:[ICM Atribuído - Grupo 4]])</f>
        <v>1</v>
      </c>
      <c r="N78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78" s="258">
        <f>IF(Tabela746[[#This Row],[APLICANDO FORMULA GRUPO 3 - ENQUADRAMENTO]]&lt;0,0,Tabela746[[#This Row],[APLICANDO FORMULA GRUPO 3 - ENQUADRAMENTO]])</f>
        <v>1</v>
      </c>
    </row>
    <row r="79" spans="1:15">
      <c r="A79" s="380">
        <v>77</v>
      </c>
      <c r="B79" s="408" t="s">
        <v>138</v>
      </c>
      <c r="C79" s="381">
        <v>0.63584562871614181</v>
      </c>
      <c r="D79" s="258">
        <f t="shared" si="1"/>
        <v>63.584562871614182</v>
      </c>
      <c r="E79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79" s="320">
        <v>62.980769230769226</v>
      </c>
      <c r="G79" s="383">
        <f>Tabela746[[#This Row],[Meta 2024 (N)]]*$E$6</f>
        <v>41.352285000000002</v>
      </c>
      <c r="H79" s="386">
        <v>63.618899999999996</v>
      </c>
      <c r="I79" s="258" t="b">
        <f>IF(E79="Referência",
   IF(Tabela746[[#This Row],[TCC 2024 (N)]]&gt;=Tabela746[[#This Row],[TCC 2023(n)]],1,
      IF(Tabela746[[#This Row],[TCC 2024 (N)]]&gt;=C73,0.95,
         IF(AND(Tabela746[[#This Row],[TCC 2024 (N)]]&lt;Tabela746[[#This Row],[TCC 2024]], Tabela746[[#This Row],[TCC 2024 (N)]]&gt;E72),0.85,
            IF(AND(Tabela746[[#This Row],[TCC 2024 (N)]]&lt;E72, Tabela746[[#This Row],[TCC 2024 (N)]]&gt;=C72),0.8, FALSE)
         )
      )
   )
)</f>
        <v>0</v>
      </c>
      <c r="J79" s="258" t="b">
        <f>IF(E79="Excelência",
   IF(Tabela746[[#This Row],[TCC 2024 (N)]]&gt;=Tabela746[[#This Row],[TCC 2023(n)]],1,
      IF(Tabela746[[#This Row],[TCC 2024 (N)]]&gt;=C73,0.95,
         IF(AND(Tabela746[[#This Row],[TCC 2024 (N)]]&lt;Tabela746[[#This Row],[TCC 2024]], Tabela746[[#This Row],[TCC 2024 (N)]]&gt;E72),0.85,
            IF(AND(Tabela746[[#This Row],[TCC 2024 (N)]]&lt;E72, Tabela746[[#This Row],[TCC 2024 (N)]]&gt;=C72),0.8, FALSE)
         )
      )
   )
)</f>
        <v>0</v>
      </c>
      <c r="K79" s="258">
        <f>IF(E79="Intermediário", MAX(0, MIN(1, (Tabela746[[#This Row],[TCC 2024 (N)]]-Tabela746[[#This Row],[Linha de Base 2024 (N) ]])/(Tabela746[[#This Row],[Meta 2024 (N)]]-Tabela746[[#This Row],[Linha de Base 2024 (N) ]]))), "FALSO")</f>
        <v>0.99845790981764337</v>
      </c>
      <c r="L79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79" s="259">
        <f>SUM(Tabela746[[#This Row],[ICM Atribuído - Grupo 1]:[ICM Atribuído - Grupo 4]])</f>
        <v>0.99845790981764337</v>
      </c>
      <c r="N79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79" s="258">
        <f>IF(Tabela746[[#This Row],[APLICANDO FORMULA GRUPO 3 - ENQUADRAMENTO]]&lt;0,0,Tabela746[[#This Row],[APLICANDO FORMULA GRUPO 3 - ENQUADRAMENTO]])</f>
        <v>1</v>
      </c>
    </row>
    <row r="80" spans="1:15">
      <c r="A80" s="385">
        <v>78</v>
      </c>
      <c r="B80" s="409" t="s">
        <v>202</v>
      </c>
      <c r="C80" s="381">
        <v>0.6082680460693719</v>
      </c>
      <c r="D80" s="258">
        <f t="shared" si="1"/>
        <v>60.826804606937188</v>
      </c>
      <c r="E80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80" s="320">
        <v>65.051395007342137</v>
      </c>
      <c r="G80" s="383">
        <f>Tabela746[[#This Row],[Meta 2024 (N)]]*$E$6</f>
        <v>42.575845000000001</v>
      </c>
      <c r="H80" s="386">
        <v>65.501300000000001</v>
      </c>
      <c r="I80" s="258" t="b">
        <f>IF(E80="Referência",
   IF(Tabela746[[#This Row],[TCC 2024 (N)]]&gt;=Tabela746[[#This Row],[TCC 2023(n)]],1,
      IF(Tabela746[[#This Row],[TCC 2024 (N)]]&gt;=C74,0.95,
         IF(AND(Tabela746[[#This Row],[TCC 2024 (N)]]&lt;Tabela746[[#This Row],[TCC 2024]], Tabela746[[#This Row],[TCC 2024 (N)]]&gt;E73),0.85,
            IF(AND(Tabela746[[#This Row],[TCC 2024 (N)]]&lt;E73, Tabela746[[#This Row],[TCC 2024 (N)]]&gt;=C73),0.8, FALSE)
         )
      )
   )
)</f>
        <v>0</v>
      </c>
      <c r="J80" s="258" t="b">
        <f>IF(E80="Excelência",
   IF(Tabela746[[#This Row],[TCC 2024 (N)]]&gt;=Tabela746[[#This Row],[TCC 2023(n)]],1,
      IF(Tabela746[[#This Row],[TCC 2024 (N)]]&gt;=C74,0.95,
         IF(AND(Tabela746[[#This Row],[TCC 2024 (N)]]&lt;Tabela746[[#This Row],[TCC 2024]], Tabela746[[#This Row],[TCC 2024 (N)]]&gt;E73),0.85,
            IF(AND(Tabela746[[#This Row],[TCC 2024 (N)]]&lt;E73, Tabela746[[#This Row],[TCC 2024 (N)]]&gt;=C73),0.8, FALSE)
         )
      )
   )
)</f>
        <v>0</v>
      </c>
      <c r="K80" s="258">
        <f>IF(E80="Intermediário", MAX(0, MIN(1, (Tabela746[[#This Row],[TCC 2024 (N)]]-Tabela746[[#This Row],[Linha de Base 2024 (N) ]])/(Tabela746[[#This Row],[Meta 2024 (N)]]-Tabela746[[#This Row],[Linha de Base 2024 (N) ]]))), "FALSO")</f>
        <v>0.79610021292651278</v>
      </c>
      <c r="L80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80" s="259">
        <f>SUM(Tabela746[[#This Row],[ICM Atribuído - Grupo 1]:[ICM Atribuído - Grupo 4]])</f>
        <v>0.79610021292651278</v>
      </c>
      <c r="N80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80" s="258">
        <f>IF(Tabela746[[#This Row],[APLICANDO FORMULA GRUPO 3 - ENQUADRAMENTO]]&lt;0,0,Tabela746[[#This Row],[APLICANDO FORMULA GRUPO 3 - ENQUADRAMENTO]])</f>
        <v>1</v>
      </c>
    </row>
    <row r="81" spans="1:15">
      <c r="A81" s="380">
        <v>79</v>
      </c>
      <c r="B81" s="408" t="s">
        <v>124</v>
      </c>
      <c r="C81" s="381">
        <v>0.5046791443850267</v>
      </c>
      <c r="D81" s="258">
        <f t="shared" si="1"/>
        <v>50.467914438502667</v>
      </c>
      <c r="E81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81" s="320">
        <v>67.729083665338635</v>
      </c>
      <c r="G81" s="383">
        <f>Tabela746[[#This Row],[Meta 2024 (N)]]*$E$6</f>
        <v>44.158075000000004</v>
      </c>
      <c r="H81" s="386">
        <v>67.935500000000005</v>
      </c>
      <c r="I81" s="258" t="b">
        <f>IF(E81="Referência",
   IF(Tabela746[[#This Row],[TCC 2024 (N)]]&gt;=Tabela746[[#This Row],[TCC 2023(n)]],1,
      IF(Tabela746[[#This Row],[TCC 2024 (N)]]&gt;=C75,0.95,
         IF(AND(Tabela746[[#This Row],[TCC 2024 (N)]]&lt;Tabela746[[#This Row],[TCC 2024]], Tabela746[[#This Row],[TCC 2024 (N)]]&gt;E74),0.85,
            IF(AND(Tabela746[[#This Row],[TCC 2024 (N)]]&lt;E74, Tabela746[[#This Row],[TCC 2024 (N)]]&gt;=C74),0.8, FALSE)
         )
      )
   )
)</f>
        <v>0</v>
      </c>
      <c r="J81" s="258" t="b">
        <f>IF(E81="Excelência",
   IF(Tabela746[[#This Row],[TCC 2024 (N)]]&gt;=Tabela746[[#This Row],[TCC 2023(n)]],1,
      IF(Tabela746[[#This Row],[TCC 2024 (N)]]&gt;=C75,0.95,
         IF(AND(Tabela746[[#This Row],[TCC 2024 (N)]]&lt;Tabela746[[#This Row],[TCC 2024]], Tabela746[[#This Row],[TCC 2024 (N)]]&gt;E74),0.85,
            IF(AND(Tabela746[[#This Row],[TCC 2024 (N)]]&lt;E74, Tabela746[[#This Row],[TCC 2024 (N)]]&gt;=C74),0.8, FALSE)
         )
      )
   )
)</f>
        <v>0</v>
      </c>
      <c r="K81" s="258">
        <f>IF(E81="Intermediário", MAX(0, MIN(1, (Tabela746[[#This Row],[TCC 2024 (N)]]-Tabela746[[#This Row],[Linha de Base 2024 (N) ]])/(Tabela746[[#This Row],[Meta 2024 (N)]]-Tabela746[[#This Row],[Linha de Base 2024 (N) ]]))), "FALSO")</f>
        <v>0.26537101635280791</v>
      </c>
      <c r="L81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81" s="259">
        <f>SUM(Tabela746[[#This Row],[ICM Atribuído - Grupo 1]:[ICM Atribuído - Grupo 4]])</f>
        <v>0.26537101635280791</v>
      </c>
      <c r="N81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0.5</v>
      </c>
      <c r="O81" s="258">
        <f>IF(Tabela746[[#This Row],[APLICANDO FORMULA GRUPO 3 - ENQUADRAMENTO]]&lt;0,0,Tabela746[[#This Row],[APLICANDO FORMULA GRUPO 3 - ENQUADRAMENTO]])</f>
        <v>0.5</v>
      </c>
    </row>
    <row r="82" spans="1:15">
      <c r="A82" s="387">
        <v>80</v>
      </c>
      <c r="B82" s="410" t="s">
        <v>217</v>
      </c>
      <c r="C82" s="388">
        <v>0.64321128909229597</v>
      </c>
      <c r="D82" s="258">
        <f t="shared" si="1"/>
        <v>64.3211289092296</v>
      </c>
      <c r="E82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82" s="320">
        <v>62.827225130890049</v>
      </c>
      <c r="G82" s="383">
        <f>Tabela746[[#This Row],[Meta 2024 (N)]]*$E$6</f>
        <v>41.261545000000005</v>
      </c>
      <c r="H82" s="386">
        <v>63.479300000000002</v>
      </c>
      <c r="I82" s="258" t="b">
        <f>IF(E82="Referência",
   IF(Tabela746[[#This Row],[TCC 2024 (N)]]&gt;=Tabela746[[#This Row],[TCC 2023(n)]],1,
      IF(Tabela746[[#This Row],[TCC 2024 (N)]]&gt;=C76,0.95,
         IF(AND(Tabela746[[#This Row],[TCC 2024 (N)]]&lt;Tabela746[[#This Row],[TCC 2024]], Tabela746[[#This Row],[TCC 2024 (N)]]&gt;E75),0.85,
            IF(AND(Tabela746[[#This Row],[TCC 2024 (N)]]&lt;E75, Tabela746[[#This Row],[TCC 2024 (N)]]&gt;=C75),0.8, FALSE)
         )
      )
   )
)</f>
        <v>0</v>
      </c>
      <c r="J82" s="258" t="b">
        <f>IF(E82="Excelência",
   IF(Tabela746[[#This Row],[TCC 2024 (N)]]&gt;=Tabela746[[#This Row],[TCC 2023(n)]],1,
      IF(Tabela746[[#This Row],[TCC 2024 (N)]]&gt;=C76,0.95,
         IF(AND(Tabela746[[#This Row],[TCC 2024 (N)]]&lt;Tabela746[[#This Row],[TCC 2024]], Tabela746[[#This Row],[TCC 2024 (N)]]&gt;E75),0.85,
            IF(AND(Tabela746[[#This Row],[TCC 2024 (N)]]&lt;E75, Tabela746[[#This Row],[TCC 2024 (N)]]&gt;=C75),0.8, FALSE)
         )
      )
   )
)</f>
        <v>0</v>
      </c>
      <c r="K82" s="258">
        <f>IF(E82="Intermediário", MAX(0, MIN(1, (Tabela746[[#This Row],[TCC 2024 (N)]]-Tabela746[[#This Row],[Linha de Base 2024 (N) ]])/(Tabela746[[#This Row],[Meta 2024 (N)]]-Tabela746[[#This Row],[Linha de Base 2024 (N) ]]))), "FALSO")</f>
        <v>1</v>
      </c>
      <c r="L82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82" s="259">
        <f>SUM(Tabela746[[#This Row],[ICM Atribuído - Grupo 1]:[ICM Atribuído - Grupo 4]])</f>
        <v>1</v>
      </c>
      <c r="N82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82" s="258">
        <f>IF(Tabela746[[#This Row],[APLICANDO FORMULA GRUPO 3 - ENQUADRAMENTO]]&lt;0,0,Tabela746[[#This Row],[APLICANDO FORMULA GRUPO 3 - ENQUADRAMENTO]])</f>
        <v>1</v>
      </c>
    </row>
    <row r="83" spans="1:15">
      <c r="A83" s="389">
        <v>81</v>
      </c>
      <c r="B83" s="411" t="s">
        <v>123</v>
      </c>
      <c r="C83" s="388">
        <v>0.63570987654320987</v>
      </c>
      <c r="D83" s="258">
        <f t="shared" si="1"/>
        <v>63.570987654320987</v>
      </c>
      <c r="E83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83" s="320">
        <v>62.653562653562659</v>
      </c>
      <c r="G83" s="383">
        <f>Tabela746[[#This Row],[Meta 2024 (N)]]*$E$6</f>
        <v>41.158909999999999</v>
      </c>
      <c r="H83" s="386">
        <v>63.321399999999997</v>
      </c>
      <c r="I83" s="258" t="b">
        <f>IF(E83="Referência",
   IF(Tabela746[[#This Row],[TCC 2024 (N)]]&gt;=Tabela746[[#This Row],[TCC 2023(n)]],1,
      IF(Tabela746[[#This Row],[TCC 2024 (N)]]&gt;=C77,0.95,
         IF(AND(Tabela746[[#This Row],[TCC 2024 (N)]]&lt;Tabela746[[#This Row],[TCC 2024]], Tabela746[[#This Row],[TCC 2024 (N)]]&gt;E76),0.85,
            IF(AND(Tabela746[[#This Row],[TCC 2024 (N)]]&lt;E76, Tabela746[[#This Row],[TCC 2024 (N)]]&gt;=C76),0.8, FALSE)
         )
      )
   )
)</f>
        <v>0</v>
      </c>
      <c r="J83" s="258" t="b">
        <f>IF(E83="Excelência",
   IF(Tabela746[[#This Row],[TCC 2024 (N)]]&gt;=Tabela746[[#This Row],[TCC 2023(n)]],1,
      IF(Tabela746[[#This Row],[TCC 2024 (N)]]&gt;=C77,0.95,
         IF(AND(Tabela746[[#This Row],[TCC 2024 (N)]]&lt;Tabela746[[#This Row],[TCC 2024]], Tabela746[[#This Row],[TCC 2024 (N)]]&gt;E76),0.85,
            IF(AND(Tabela746[[#This Row],[TCC 2024 (N)]]&lt;E76, Tabela746[[#This Row],[TCC 2024 (N)]]&gt;=C76),0.8, FALSE)
         )
      )
   )
)</f>
        <v>0</v>
      </c>
      <c r="K83" s="258">
        <f>IF(E83="Intermediário", MAX(0, MIN(1, (Tabela746[[#This Row],[TCC 2024 (N)]]-Tabela746[[#This Row],[Linha de Base 2024 (N) ]])/(Tabela746[[#This Row],[Meta 2024 (N)]]-Tabela746[[#This Row],[Linha de Base 2024 (N) ]]))), "FALSO")</f>
        <v>1</v>
      </c>
      <c r="L83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83" s="259">
        <f>SUM(Tabela746[[#This Row],[ICM Atribuído - Grupo 1]:[ICM Atribuído - Grupo 4]])</f>
        <v>1</v>
      </c>
      <c r="N83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83" s="258">
        <f>IF(Tabela746[[#This Row],[APLICANDO FORMULA GRUPO 3 - ENQUADRAMENTO]]&lt;0,0,Tabela746[[#This Row],[APLICANDO FORMULA GRUPO 3 - ENQUADRAMENTO]])</f>
        <v>1</v>
      </c>
    </row>
    <row r="84" spans="1:15">
      <c r="A84" s="387">
        <v>82</v>
      </c>
      <c r="B84" s="410" t="s">
        <v>179</v>
      </c>
      <c r="C84" s="388">
        <v>0.68220314735336185</v>
      </c>
      <c r="D84" s="258">
        <f t="shared" si="1"/>
        <v>68.220314735336189</v>
      </c>
      <c r="E84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84" s="320">
        <v>65.64705882352942</v>
      </c>
      <c r="G84" s="383">
        <f>Tabela746[[#This Row],[Meta 2024 (N)]]*$E$6</f>
        <v>42.927820000000004</v>
      </c>
      <c r="H84" s="386">
        <v>66.0428</v>
      </c>
      <c r="I84" s="258" t="b">
        <f>IF(E84="Referência",
   IF(Tabela746[[#This Row],[TCC 2024 (N)]]&gt;=Tabela746[[#This Row],[TCC 2023(n)]],1,
      IF(Tabela746[[#This Row],[TCC 2024 (N)]]&gt;=C78,0.95,
         IF(AND(Tabela746[[#This Row],[TCC 2024 (N)]]&lt;Tabela746[[#This Row],[TCC 2024]], Tabela746[[#This Row],[TCC 2024 (N)]]&gt;E77),0.85,
            IF(AND(Tabela746[[#This Row],[TCC 2024 (N)]]&lt;E77, Tabela746[[#This Row],[TCC 2024 (N)]]&gt;=C77),0.8, FALSE)
         )
      )
   )
)</f>
        <v>0</v>
      </c>
      <c r="J84" s="258" t="b">
        <f>IF(E84="Excelência",
   IF(Tabela746[[#This Row],[TCC 2024 (N)]]&gt;=Tabela746[[#This Row],[TCC 2023(n)]],1,
      IF(Tabela746[[#This Row],[TCC 2024 (N)]]&gt;=C78,0.95,
         IF(AND(Tabela746[[#This Row],[TCC 2024 (N)]]&lt;Tabela746[[#This Row],[TCC 2024]], Tabela746[[#This Row],[TCC 2024 (N)]]&gt;E77),0.85,
            IF(AND(Tabela746[[#This Row],[TCC 2024 (N)]]&lt;E77, Tabela746[[#This Row],[TCC 2024 (N)]]&gt;=C77),0.8, FALSE)
         )
      )
   )
)</f>
        <v>0</v>
      </c>
      <c r="K84" s="258">
        <f>IF(E84="Intermediário", MAX(0, MIN(1, (Tabela746[[#This Row],[TCC 2024 (N)]]-Tabela746[[#This Row],[Linha de Base 2024 (N) ]])/(Tabela746[[#This Row],[Meta 2024 (N)]]-Tabela746[[#This Row],[Linha de Base 2024 (N) ]]))), "FALSO")</f>
        <v>1</v>
      </c>
      <c r="L84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84" s="259">
        <f>SUM(Tabela746[[#This Row],[ICM Atribuído - Grupo 1]:[ICM Atribuído - Grupo 4]])</f>
        <v>1</v>
      </c>
      <c r="N84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84" s="258">
        <f>IF(Tabela746[[#This Row],[APLICANDO FORMULA GRUPO 3 - ENQUADRAMENTO]]&lt;0,0,Tabela746[[#This Row],[APLICANDO FORMULA GRUPO 3 - ENQUADRAMENTO]])</f>
        <v>1</v>
      </c>
    </row>
    <row r="85" spans="1:15">
      <c r="A85" s="389">
        <v>83</v>
      </c>
      <c r="B85" s="411" t="s">
        <v>65</v>
      </c>
      <c r="C85" s="388">
        <v>0.66531690140845068</v>
      </c>
      <c r="D85" s="258">
        <f t="shared" si="1"/>
        <v>66.531690140845072</v>
      </c>
      <c r="E85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85" s="320">
        <v>65.789473684210535</v>
      </c>
      <c r="G85" s="383">
        <f>Tabela746[[#This Row],[Meta 2024 (N)]]*$E$6</f>
        <v>43.011930000000007</v>
      </c>
      <c r="H85" s="386">
        <v>66.172200000000004</v>
      </c>
      <c r="I85" s="258" t="b">
        <f>IF(E85="Referência",
   IF(Tabela746[[#This Row],[TCC 2024 (N)]]&gt;=Tabela746[[#This Row],[TCC 2023(n)]],1,
      IF(Tabela746[[#This Row],[TCC 2024 (N)]]&gt;=C79,0.95,
         IF(AND(Tabela746[[#This Row],[TCC 2024 (N)]]&lt;Tabela746[[#This Row],[TCC 2024]], Tabela746[[#This Row],[TCC 2024 (N)]]&gt;E78),0.85,
            IF(AND(Tabela746[[#This Row],[TCC 2024 (N)]]&lt;E78, Tabela746[[#This Row],[TCC 2024 (N)]]&gt;=C78),0.8, FALSE)
         )
      )
   )
)</f>
        <v>0</v>
      </c>
      <c r="J85" s="258" t="b">
        <f>IF(E85="Excelência",
   IF(Tabela746[[#This Row],[TCC 2024 (N)]]&gt;=Tabela746[[#This Row],[TCC 2023(n)]],1,
      IF(Tabela746[[#This Row],[TCC 2024 (N)]]&gt;=C79,0.95,
         IF(AND(Tabela746[[#This Row],[TCC 2024 (N)]]&lt;Tabela746[[#This Row],[TCC 2024]], Tabela746[[#This Row],[TCC 2024 (N)]]&gt;E78),0.85,
            IF(AND(Tabela746[[#This Row],[TCC 2024 (N)]]&lt;E78, Tabela746[[#This Row],[TCC 2024 (N)]]&gt;=C78),0.8, FALSE)
         )
      )
   )
)</f>
        <v>0</v>
      </c>
      <c r="K85" s="258">
        <f>IF(E85="Intermediário", MAX(0, MIN(1, (Tabela746[[#This Row],[TCC 2024 (N)]]-Tabela746[[#This Row],[Linha de Base 2024 (N) ]])/(Tabela746[[#This Row],[Meta 2024 (N)]]-Tabela746[[#This Row],[Linha de Base 2024 (N) ]]))), "FALSO")</f>
        <v>1</v>
      </c>
      <c r="L85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85" s="259">
        <f>SUM(Tabela746[[#This Row],[ICM Atribuído - Grupo 1]:[ICM Atribuído - Grupo 4]])</f>
        <v>1</v>
      </c>
      <c r="N85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85" s="258">
        <f>IF(Tabela746[[#This Row],[APLICANDO FORMULA GRUPO 3 - ENQUADRAMENTO]]&lt;0,0,Tabela746[[#This Row],[APLICANDO FORMULA GRUPO 3 - ENQUADRAMENTO]])</f>
        <v>1</v>
      </c>
    </row>
    <row r="86" spans="1:15">
      <c r="A86" s="387">
        <v>84</v>
      </c>
      <c r="B86" s="410" t="s">
        <v>125</v>
      </c>
      <c r="C86" s="388">
        <v>0.70378247580234343</v>
      </c>
      <c r="D86" s="258">
        <f t="shared" si="1"/>
        <v>70.378247580234344</v>
      </c>
      <c r="E86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86" s="320">
        <v>66.17647058823529</v>
      </c>
      <c r="G86" s="383">
        <f>Tabela746[[#This Row],[Meta 2024 (N)]]*$E$6</f>
        <v>43.240665000000007</v>
      </c>
      <c r="H86" s="386">
        <v>66.524100000000004</v>
      </c>
      <c r="I86" s="258" t="b">
        <f>IF(E86="Referência",
   IF(Tabela746[[#This Row],[TCC 2024 (N)]]&gt;=Tabela746[[#This Row],[TCC 2023(n)]],1,
      IF(Tabela746[[#This Row],[TCC 2024 (N)]]&gt;=C80,0.95,
         IF(AND(Tabela746[[#This Row],[TCC 2024 (N)]]&lt;Tabela746[[#This Row],[TCC 2024]], Tabela746[[#This Row],[TCC 2024 (N)]]&gt;E79),0.85,
            IF(AND(Tabela746[[#This Row],[TCC 2024 (N)]]&lt;E79, Tabela746[[#This Row],[TCC 2024 (N)]]&gt;=C79),0.8, FALSE)
         )
      )
   )
)</f>
        <v>0</v>
      </c>
      <c r="J86" s="258">
        <f>IF(E86="Excelência",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86" s="258" t="str">
        <f>IF(E86="Intermediário", MAX(0, MIN(1, (Tabela746[[#This Row],[TCC 2024 (N)]]-Tabela746[[#This Row],[Linha de Base 2024 (N) ]])/(Tabela746[[#This Row],[Meta 2024 (N)]]-Tabela746[[#This Row],[Linha de Base 2024 (N) ]]))), "FALSO")</f>
        <v>FALSO</v>
      </c>
      <c r="L86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86" s="259">
        <f>SUM(Tabela746[[#This Row],[ICM Atribuído - Grupo 1]:[ICM Atribuído - Grupo 4]])</f>
        <v>1</v>
      </c>
      <c r="N86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86" s="258">
        <f>IF(Tabela746[[#This Row],[APLICANDO FORMULA GRUPO 3 - ENQUADRAMENTO]]&lt;0,0,Tabela746[[#This Row],[APLICANDO FORMULA GRUPO 3 - ENQUADRAMENTO]])</f>
        <v>1</v>
      </c>
    </row>
    <row r="87" spans="1:15">
      <c r="A87" s="380">
        <v>85</v>
      </c>
      <c r="B87" s="408" t="s">
        <v>157</v>
      </c>
      <c r="C87" s="381">
        <v>0.59268404278817333</v>
      </c>
      <c r="D87" s="258">
        <f t="shared" si="1"/>
        <v>59.268404278817336</v>
      </c>
      <c r="E87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87" s="320">
        <v>66.092715231788077</v>
      </c>
      <c r="G87" s="383">
        <f>Tabela746[[#This Row],[Meta 2024 (N)]]*$E$6</f>
        <v>43.191135000000003</v>
      </c>
      <c r="H87" s="386">
        <v>66.447900000000004</v>
      </c>
      <c r="I87" s="258" t="b">
        <f>IF(E87="Referência",
   IF(Tabela746[[#This Row],[TCC 2024 (N)]]&gt;=Tabela746[[#This Row],[TCC 2023(n)]],1,
      IF(Tabela746[[#This Row],[TCC 2024 (N)]]&gt;=C81,0.95,
         IF(AND(Tabela746[[#This Row],[TCC 2024 (N)]]&lt;Tabela746[[#This Row],[TCC 2024]], Tabela746[[#This Row],[TCC 2024 (N)]]&gt;E80),0.85,
            IF(AND(Tabela746[[#This Row],[TCC 2024 (N)]]&lt;E80, Tabela746[[#This Row],[TCC 2024 (N)]]&gt;=C80),0.8, FALSE)
         )
      )
   )
)</f>
        <v>0</v>
      </c>
      <c r="J87" s="258" t="b">
        <f>IF(E87="Excelência",
   IF(Tabela746[[#This Row],[TCC 2024 (N)]]&gt;=Tabela746[[#This Row],[TCC 2023(n)]],1,
      IF(Tabela746[[#This Row],[TCC 2024 (N)]]&gt;=C81,0.95,
         IF(AND(Tabela746[[#This Row],[TCC 2024 (N)]]&lt;Tabela746[[#This Row],[TCC 2024]], Tabela746[[#This Row],[TCC 2024 (N)]]&gt;E80),0.85,
            IF(AND(Tabela746[[#This Row],[TCC 2024 (N)]]&lt;E80, Tabela746[[#This Row],[TCC 2024 (N)]]&gt;=C80),0.8, FALSE)
         )
      )
   )
)</f>
        <v>0</v>
      </c>
      <c r="K87" s="258">
        <f>IF(E87="Intermediário", MAX(0, MIN(1, (Tabela746[[#This Row],[TCC 2024 (N)]]-Tabela746[[#This Row],[Linha de Base 2024 (N) ]])/(Tabela746[[#This Row],[Meta 2024 (N)]]-Tabela746[[#This Row],[Linha de Base 2024 (N) ]]))), "FALSO")</f>
        <v>0.69129430850839879</v>
      </c>
      <c r="L87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87" s="259">
        <f>SUM(Tabela746[[#This Row],[ICM Atribuído - Grupo 1]:[ICM Atribuído - Grupo 4]])</f>
        <v>0.69129430850839879</v>
      </c>
      <c r="N87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0.75</v>
      </c>
      <c r="O87" s="258">
        <f>IF(Tabela746[[#This Row],[APLICANDO FORMULA GRUPO 3 - ENQUADRAMENTO]]&lt;0,0,Tabela746[[#This Row],[APLICANDO FORMULA GRUPO 3 - ENQUADRAMENTO]])</f>
        <v>0.75</v>
      </c>
    </row>
    <row r="88" spans="1:15">
      <c r="A88" s="385">
        <v>86</v>
      </c>
      <c r="B88" s="409" t="s">
        <v>185</v>
      </c>
      <c r="C88" s="381">
        <v>0.92622950819672134</v>
      </c>
      <c r="D88" s="258">
        <f t="shared" si="1"/>
        <v>92.622950819672127</v>
      </c>
      <c r="E88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88" s="320">
        <v>85.714285714285708</v>
      </c>
      <c r="G88" s="383">
        <f>Tabela746[[#This Row],[Meta 2024 (N)]]*$E$6</f>
        <v>56.189120000000003</v>
      </c>
      <c r="H88" s="386">
        <v>86.444800000000001</v>
      </c>
      <c r="I88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88" s="258" t="b">
        <f>IF(E88="Grupo 2",IF(J88&lt;=0,0,IF(AND(J88&gt;0,J88&lt;0.25),0.25,IF(AND(J88&gt;=0.25,J88&lt;0.5),0.5,IF(AND(J88&gt;=0.5,J88&lt;0.75),0.75,IF(AND(J88&gt;=0.75,J88&lt;1),1,1))))))</f>
        <v>0</v>
      </c>
      <c r="K88" s="258" t="str">
        <f>IF(E88="Intermediário", MAX(0, MIN(1, (Tabela746[[#This Row],[TCC 2024 (N)]]-Tabela746[[#This Row],[Linha de Base 2024 (N) ]])/(Tabela746[[#This Row],[Meta 2024 (N)]]-Tabela746[[#This Row],[Linha de Base 2024 (N) ]]))), "FALSO")</f>
        <v>FALSO</v>
      </c>
      <c r="L88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88" s="259">
        <f>SUM(Tabela746[[#This Row],[ICM Atribuído - Grupo 1]:[ICM Atribuído - Grupo 4]])</f>
        <v>1</v>
      </c>
      <c r="N88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88" s="258">
        <f>IF(Tabela746[[#This Row],[APLICANDO FORMULA GRUPO 3 - ENQUADRAMENTO]]&lt;0,0,Tabela746[[#This Row],[APLICANDO FORMULA GRUPO 3 - ENQUADRAMENTO]])</f>
        <v>1</v>
      </c>
    </row>
    <row r="89" spans="1:15">
      <c r="A89" s="380">
        <v>87</v>
      </c>
      <c r="B89" s="408" t="s">
        <v>35</v>
      </c>
      <c r="C89" s="381">
        <v>0.7722772277227723</v>
      </c>
      <c r="D89" s="258">
        <f t="shared" si="1"/>
        <v>77.227722772277232</v>
      </c>
      <c r="E89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89" s="320">
        <v>66.666666666666657</v>
      </c>
      <c r="G89" s="383">
        <f>Tabela746[[#This Row],[Meta 2024 (N)]]*$E$6</f>
        <v>43.530305000000006</v>
      </c>
      <c r="H89" s="386">
        <v>66.969700000000003</v>
      </c>
      <c r="I89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89" s="258" t="b">
        <f>IF(E89="Excelência",
   IF(Tabela746[[#This Row],[TCC 2024 (N)]]&gt;=Tabela746[[#This Row],[TCC 2023(n)]],1,
      IF(Tabela746[[#This Row],[TCC 2024 (N)]]&gt;=C83,0.95,
         IF(AND(Tabela746[[#This Row],[TCC 2024 (N)]]&lt;Tabela746[[#This Row],[TCC 2024]], Tabela746[[#This Row],[TCC 2024 (N)]]&gt;E82),0.85,
            IF(AND(Tabela746[[#This Row],[TCC 2024 (N)]]&lt;E82, Tabela746[[#This Row],[TCC 2024 (N)]]&gt;=C82),0.8, FALSE)
         )
      )
   )
)</f>
        <v>0</v>
      </c>
      <c r="K89" s="258" t="str">
        <f>IF(E89="Intermediário", MAX(0, MIN(1, (Tabela746[[#This Row],[TCC 2024 (N)]]-Tabela746[[#This Row],[Linha de Base 2024 (N) ]])/(Tabela746[[#This Row],[Meta 2024 (N)]]-Tabela746[[#This Row],[Linha de Base 2024 (N) ]]))), "FALSO")</f>
        <v>FALSO</v>
      </c>
      <c r="L89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89" s="259">
        <f>SUM(Tabela746[[#This Row],[ICM Atribuído - Grupo 1]:[ICM Atribuído - Grupo 4]])</f>
        <v>1</v>
      </c>
      <c r="N89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89" s="258">
        <f>IF(Tabela746[[#This Row],[APLICANDO FORMULA GRUPO 3 - ENQUADRAMENTO]]&lt;0,0,Tabela746[[#This Row],[APLICANDO FORMULA GRUPO 3 - ENQUADRAMENTO]])</f>
        <v>1</v>
      </c>
    </row>
    <row r="90" spans="1:15">
      <c r="A90" s="385">
        <v>88</v>
      </c>
      <c r="B90" s="409" t="s">
        <v>153</v>
      </c>
      <c r="C90" s="381">
        <v>0.54748603351955305</v>
      </c>
      <c r="D90" s="258">
        <f t="shared" si="1"/>
        <v>54.748603351955303</v>
      </c>
      <c r="E90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90" s="320">
        <v>62.650602409638559</v>
      </c>
      <c r="G90" s="383">
        <f>Tabela746[[#This Row],[Meta 2024 (N)]]*$E$6</f>
        <v>41.157155000000003</v>
      </c>
      <c r="H90" s="386">
        <v>63.3187</v>
      </c>
      <c r="I90" s="258" t="b">
        <f>IF(E90="Grupo 1",IF(AND(D90&gt;=$C$1,D90&lt;F90),0.75,IF(AND(D90&gt;=F90,D90&lt;H90),1,IF(D90&gt;=H90,1))))</f>
        <v>0</v>
      </c>
      <c r="J90" s="258" t="b">
        <f>IF(E90="Grupo 2",IF(J90&lt;=0,0,IF(AND(J90&gt;0,J90&lt;0.25),0.25,IF(AND(J90&gt;=0.25,J90&lt;0.5),0.5,IF(AND(J90&gt;=0.5,J90&lt;0.75),0.75,IF(AND(J90&gt;=0.75,J90&lt;1),1,1))))))</f>
        <v>0</v>
      </c>
      <c r="K90" s="258">
        <f>IF(E90="Intermediário", MAX(0, MIN(1, (Tabela746[[#This Row],[TCC 2024 (N)]]-Tabela746[[#This Row],[Linha de Base 2024 (N) ]])/(Tabela746[[#This Row],[Meta 2024 (N)]]-Tabela746[[#This Row],[Linha de Base 2024 (N) ]]))), "FALSO")</f>
        <v>0.61328974816310422</v>
      </c>
      <c r="L90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90" s="259">
        <f>SUM(Tabela746[[#This Row],[ICM Atribuído - Grupo 1]:[ICM Atribuído - Grupo 4]])</f>
        <v>0.61328974816310422</v>
      </c>
      <c r="N90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0.75</v>
      </c>
      <c r="O90" s="258">
        <f>IF(Tabela746[[#This Row],[APLICANDO FORMULA GRUPO 3 - ENQUADRAMENTO]]&lt;0,0,Tabela746[[#This Row],[APLICANDO FORMULA GRUPO 3 - ENQUADRAMENTO]])</f>
        <v>0.75</v>
      </c>
    </row>
    <row r="91" spans="1:15">
      <c r="A91" s="380">
        <v>89</v>
      </c>
      <c r="B91" s="408" t="s">
        <v>205</v>
      </c>
      <c r="C91" s="381">
        <v>0.68571428571428572</v>
      </c>
      <c r="D91" s="258">
        <f t="shared" si="1"/>
        <v>68.571428571428569</v>
      </c>
      <c r="E91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91" s="320">
        <v>53.846153846153847</v>
      </c>
      <c r="G91" s="383">
        <f>Tabela746[[#This Row],[Meta 2024 (N)]]*$E$6</f>
        <v>35.954554999999999</v>
      </c>
      <c r="H91" s="386">
        <v>55.314700000000002</v>
      </c>
      <c r="I91" s="258" t="b">
        <f>IF(E91="Grupo 1",IF(AND(D91&gt;=$C$1,D91&lt;F91),0.75,IF(AND(D91&gt;=F91,D91&lt;H91),1,IF(D91&gt;=H91,1))))</f>
        <v>0</v>
      </c>
      <c r="J91" s="258" t="b">
        <f>IF(E91="Grupo 2",IF(J91&lt;=0,0,IF(AND(J91&gt;0,J91&lt;0.25),0.25,IF(AND(J91&gt;=0.25,J91&lt;0.5),0.5,IF(AND(J91&gt;=0.5,J91&lt;0.75),0.75,IF(AND(J91&gt;=0.75,J91&lt;1),1,1))))))</f>
        <v>0</v>
      </c>
      <c r="K91" s="258">
        <f>IF(E91="Intermediário", MAX(0, MIN(1, (Tabela746[[#This Row],[TCC 2024 (N)]]-Tabela746[[#This Row],[Linha de Base 2024 (N) ]])/(Tabela746[[#This Row],[Meta 2024 (N)]]-Tabela746[[#This Row],[Linha de Base 2024 (N) ]]))), "FALSO")</f>
        <v>1</v>
      </c>
      <c r="L91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91" s="259">
        <f>SUM(Tabela746[[#This Row],[ICM Atribuído - Grupo 1]:[ICM Atribuído - Grupo 4]])</f>
        <v>1</v>
      </c>
      <c r="N91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91" s="258">
        <f>IF(Tabela746[[#This Row],[APLICANDO FORMULA GRUPO 3 - ENQUADRAMENTO]]&lt;0,0,Tabela746[[#This Row],[APLICANDO FORMULA GRUPO 3 - ENQUADRAMENTO]])</f>
        <v>1</v>
      </c>
    </row>
    <row r="92" spans="1:15">
      <c r="A92" s="385">
        <v>90</v>
      </c>
      <c r="B92" s="409" t="s">
        <v>102</v>
      </c>
      <c r="C92" s="381">
        <v>0.6428571428571429</v>
      </c>
      <c r="D92" s="258">
        <f t="shared" si="1"/>
        <v>64.285714285714292</v>
      </c>
      <c r="E92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92" s="320">
        <v>43.07692307692308</v>
      </c>
      <c r="G92" s="383">
        <f>Tabela746[[#This Row],[Meta 2024 (N)]]*$E$6</f>
        <v>29.590925000000002</v>
      </c>
      <c r="H92" s="386">
        <v>45.524500000000003</v>
      </c>
      <c r="I92" s="258" t="b">
        <f>IF(E92="Grupo 1",IF(AND(D92&gt;=$C$1,D92&lt;F92),0.75,IF(AND(D92&gt;=F92,D92&lt;H92),1,IF(D92&gt;=H92,1))))</f>
        <v>0</v>
      </c>
      <c r="J92" s="258" t="b">
        <f>IF(E92="Grupo 2",IF(J92&lt;=0,0,IF(AND(J92&gt;0,J92&lt;0.25),0.25,IF(AND(J92&gt;=0.25,J92&lt;0.5),0.5,IF(AND(J92&gt;=0.5,J92&lt;0.75),0.75,IF(AND(J92&gt;=0.75,J92&lt;1),1,1))))))</f>
        <v>0</v>
      </c>
      <c r="K92" s="258">
        <f>IF(E92="Intermediário", MAX(0, MIN(1, (Tabela746[[#This Row],[TCC 2024 (N)]]-Tabela746[[#This Row],[Linha de Base 2024 (N) ]])/(Tabela746[[#This Row],[Meta 2024 (N)]]-Tabela746[[#This Row],[Linha de Base 2024 (N) ]]))), "FALSO")</f>
        <v>1</v>
      </c>
      <c r="L92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92" s="259">
        <f>SUM(Tabela746[[#This Row],[ICM Atribuído - Grupo 1]:[ICM Atribuído - Grupo 4]])</f>
        <v>1</v>
      </c>
      <c r="N92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92" s="258">
        <f>IF(Tabela746[[#This Row],[APLICANDO FORMULA GRUPO 3 - ENQUADRAMENTO]]&lt;0,0,Tabela746[[#This Row],[APLICANDO FORMULA GRUPO 3 - ENQUADRAMENTO]])</f>
        <v>1</v>
      </c>
    </row>
    <row r="93" spans="1:15">
      <c r="A93" s="380">
        <v>91</v>
      </c>
      <c r="B93" s="408" t="s">
        <v>176</v>
      </c>
      <c r="C93" s="381">
        <v>0.64928145720993835</v>
      </c>
      <c r="D93" s="258">
        <f t="shared" si="1"/>
        <v>64.92814572099384</v>
      </c>
      <c r="E93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93" s="320">
        <v>70.82601054481546</v>
      </c>
      <c r="G93" s="383">
        <f>Tabela746[[#This Row],[Meta 2024 (N)]]*$E$6</f>
        <v>46.399860000000004</v>
      </c>
      <c r="H93" s="386">
        <v>71.384399999999999</v>
      </c>
      <c r="I93" s="258" t="b">
        <f>IF(E93="Grupo 1",IF(AND(D93&gt;=$C$1,D93&lt;F93),0.75,IF(AND(D93&gt;=F93,D93&lt;H93),1,IF(D93&gt;=H93,1))))</f>
        <v>0</v>
      </c>
      <c r="J93" s="258" t="b">
        <f>IF(E93="Grupo 2",IF(J93&lt;=0,0,IF(AND(J93&gt;0,J93&lt;0.25),0.25,IF(AND(J93&gt;=0.25,J93&lt;0.5),0.5,IF(AND(J93&gt;=0.5,J93&lt;0.75),0.75,IF(AND(J93&gt;=0.75,J93&lt;1),1,1))))))</f>
        <v>0</v>
      </c>
      <c r="K93" s="258">
        <f>IF(E93="Intermediário", MAX(0, MIN(1, (Tabela746[[#This Row],[TCC 2024 (N)]]-Tabela746[[#This Row],[Linha de Base 2024 (N) ]])/(Tabela746[[#This Row],[Meta 2024 (N)]]-Tabela746[[#This Row],[Linha de Base 2024 (N) ]]))), "FALSO")</f>
        <v>0.74159002811313868</v>
      </c>
      <c r="L93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93" s="259">
        <f>SUM(Tabela746[[#This Row],[ICM Atribuído - Grupo 1]:[ICM Atribuído - Grupo 4]])</f>
        <v>0.74159002811313868</v>
      </c>
      <c r="N93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0.75</v>
      </c>
      <c r="O93" s="258">
        <f>IF(Tabela746[[#This Row],[APLICANDO FORMULA GRUPO 3 - ENQUADRAMENTO]]&lt;0,0,Tabela746[[#This Row],[APLICANDO FORMULA GRUPO 3 - ENQUADRAMENTO]])</f>
        <v>0.75</v>
      </c>
    </row>
    <row r="94" spans="1:15">
      <c r="A94" s="385">
        <v>92</v>
      </c>
      <c r="B94" s="409" t="s">
        <v>154</v>
      </c>
      <c r="C94" s="381">
        <v>0.78378378378378377</v>
      </c>
      <c r="D94" s="258">
        <f t="shared" si="1"/>
        <v>78.378378378378372</v>
      </c>
      <c r="E94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94" s="320">
        <v>56.637168141592923</v>
      </c>
      <c r="G94" s="383">
        <f>Tabela746[[#This Row],[Meta 2024 (N)]]*$E$6</f>
        <v>37.6038</v>
      </c>
      <c r="H94" s="386">
        <v>57.851999999999997</v>
      </c>
      <c r="I94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94" s="258" t="b">
        <f>IF(E94="Excelência",
   IF(Tabela746[[#This Row],[TCC 2024 (N)]]&gt;=Tabela746[[#This Row],[TCC 2023(n)]],1,
      IF(Tabela746[[#This Row],[TCC 2024 (N)]]&gt;=C88,0.95,
         IF(AND(Tabela746[[#This Row],[TCC 2024 (N)]]&lt;Tabela746[[#This Row],[TCC 2024]], Tabela746[[#This Row],[TCC 2024 (N)]]&gt;E87),0.85,
            IF(AND(Tabela746[[#This Row],[TCC 2024 (N)]]&lt;E87, Tabela746[[#This Row],[TCC 2024 (N)]]&gt;=C87),0.8, FALSE)
         )
      )
   )
)</f>
        <v>0</v>
      </c>
      <c r="K94" s="258" t="str">
        <f>IF(E94="Intermediário", MAX(0, MIN(1, (Tabela746[[#This Row],[TCC 2024 (N)]]-Tabela746[[#This Row],[Linha de Base 2024 (N) ]])/(Tabela746[[#This Row],[Meta 2024 (N)]]-Tabela746[[#This Row],[Linha de Base 2024 (N) ]]))), "FALSO")</f>
        <v>FALSO</v>
      </c>
      <c r="L94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94" s="259">
        <f>SUM(Tabela746[[#This Row],[ICM Atribuído - Grupo 1]:[ICM Atribuído - Grupo 4]])</f>
        <v>1</v>
      </c>
      <c r="N94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94" s="258">
        <f>IF(Tabela746[[#This Row],[APLICANDO FORMULA GRUPO 3 - ENQUADRAMENTO]]&lt;0,0,Tabela746[[#This Row],[APLICANDO FORMULA GRUPO 3 - ENQUADRAMENTO]])</f>
        <v>1</v>
      </c>
    </row>
    <row r="95" spans="1:15">
      <c r="A95" s="380">
        <v>93</v>
      </c>
      <c r="B95" s="408" t="s">
        <v>207</v>
      </c>
      <c r="C95" s="381">
        <v>0.63012422360248443</v>
      </c>
      <c r="D95" s="258">
        <f t="shared" si="1"/>
        <v>63.012422360248443</v>
      </c>
      <c r="E95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95" s="320">
        <v>64.492753623188406</v>
      </c>
      <c r="G95" s="383">
        <f>Tabela746[[#This Row],[Meta 2024 (N)]]*$E$6</f>
        <v>42.245709999999995</v>
      </c>
      <c r="H95" s="386">
        <v>64.993399999999994</v>
      </c>
      <c r="I95" s="258" t="b">
        <f t="shared" ref="I95:I114" si="2">IF(E95="Grupo 1",IF(AND(D95&gt;=$C$1,D95&lt;F95),0.75,IF(AND(D95&gt;=F95,D95&lt;H95),1,IF(D95&gt;=H95,1))))</f>
        <v>0</v>
      </c>
      <c r="J95" s="258" t="b">
        <f>IF(E95="Grupo 2",IF(J95&lt;=0,0,IF(AND(J95&gt;0,J95&lt;0.25),0.25,IF(AND(J95&gt;=0.25,J95&lt;0.5),0.5,IF(AND(J95&gt;=0.5,J95&lt;0.75),0.75,IF(AND(J95&gt;=0.75,J95&lt;1),1,1))))))</f>
        <v>0</v>
      </c>
      <c r="K95" s="258">
        <f>IF(E95="Intermediário", MAX(0, MIN(1, (Tabela746[[#This Row],[TCC 2024 (N)]]-Tabela746[[#This Row],[Linha de Base 2024 (N) ]])/(Tabela746[[#This Row],[Meta 2024 (N)]]-Tabela746[[#This Row],[Linha de Base 2024 (N) ]]))), "FALSO")</f>
        <v>0.91291521733628556</v>
      </c>
      <c r="L95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95" s="259">
        <f>SUM(Tabela746[[#This Row],[ICM Atribuído - Grupo 1]:[ICM Atribuído - Grupo 4]])</f>
        <v>0.91291521733628556</v>
      </c>
      <c r="N95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95" s="258">
        <f>IF(Tabela746[[#This Row],[APLICANDO FORMULA GRUPO 3 - ENQUADRAMENTO]]&lt;0,0,Tabela746[[#This Row],[APLICANDO FORMULA GRUPO 3 - ENQUADRAMENTO]])</f>
        <v>1</v>
      </c>
    </row>
    <row r="96" spans="1:15">
      <c r="A96" s="385">
        <v>94</v>
      </c>
      <c r="B96" s="409" t="s">
        <v>84</v>
      </c>
      <c r="C96" s="381">
        <v>0.71957402034244167</v>
      </c>
      <c r="D96" s="258">
        <f t="shared" si="1"/>
        <v>71.957402034244168</v>
      </c>
      <c r="E96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96" s="320">
        <v>74.173228346456682</v>
      </c>
      <c r="G96" s="383">
        <f>Tabela746[[#This Row],[Meta 2024 (N)]]*$E$6</f>
        <v>48.377745000000004</v>
      </c>
      <c r="H96" s="386">
        <v>74.427300000000002</v>
      </c>
      <c r="I96" s="258" t="b">
        <f t="shared" si="2"/>
        <v>0</v>
      </c>
      <c r="J96" s="258">
        <f>IF(E96="Excelência",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0.7</v>
      </c>
      <c r="K96" s="258" t="str">
        <f>IF(E96="Intermediário", MAX(0, MIN(1, (Tabela746[[#This Row],[TCC 2024 (N)]]-Tabela746[[#This Row],[Linha de Base 2024 (N) ]])/(Tabela746[[#This Row],[Meta 2024 (N)]]-Tabela746[[#This Row],[Linha de Base 2024 (N) ]]))), "FALSO")</f>
        <v>FALSO</v>
      </c>
      <c r="L96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96" s="259">
        <f>SUM(Tabela746[[#This Row],[ICM Atribuído - Grupo 1]:[ICM Atribuído - Grupo 4]])</f>
        <v>0.7</v>
      </c>
      <c r="N96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0.7</v>
      </c>
      <c r="O96" s="258">
        <f>IF(Tabela746[[#This Row],[APLICANDO FORMULA GRUPO 3 - ENQUADRAMENTO]]&lt;0,0,Tabela746[[#This Row],[APLICANDO FORMULA GRUPO 3 - ENQUADRAMENTO]])</f>
        <v>0.7</v>
      </c>
    </row>
    <row r="97" spans="1:15">
      <c r="A97" s="380">
        <v>95</v>
      </c>
      <c r="B97" s="408" t="s">
        <v>111</v>
      </c>
      <c r="C97" s="381">
        <v>0.74552071668533038</v>
      </c>
      <c r="D97" s="258">
        <f t="shared" si="1"/>
        <v>74.552071668533031</v>
      </c>
      <c r="E97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97" s="320">
        <v>70.096463022508033</v>
      </c>
      <c r="G97" s="383">
        <f>Tabela746[[#This Row],[Meta 2024 (N)]]*$E$6</f>
        <v>45.564870000000006</v>
      </c>
      <c r="H97" s="386">
        <v>70.099800000000002</v>
      </c>
      <c r="I97" s="258" t="b">
        <f t="shared" si="2"/>
        <v>0</v>
      </c>
      <c r="J97" s="258">
        <f>IF(E97="Excelência",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97" s="258" t="str">
        <f>IF(E97="Intermediário", MAX(0, MIN(1, (Tabela746[[#This Row],[TCC 2024 (N)]]-Tabela746[[#This Row],[Linha de Base 2024 (N) ]])/(Tabela746[[#This Row],[Meta 2024 (N)]]-Tabela746[[#This Row],[Linha de Base 2024 (N) ]]))), "FALSO")</f>
        <v>FALSO</v>
      </c>
      <c r="L97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97" s="259">
        <f>SUM(Tabela746[[#This Row],[ICM Atribuído - Grupo 1]:[ICM Atribuído - Grupo 4]])</f>
        <v>1</v>
      </c>
      <c r="N97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97" s="258">
        <f>IF(Tabela746[[#This Row],[APLICANDO FORMULA GRUPO 3 - ENQUADRAMENTO]]&lt;0,0,Tabela746[[#This Row],[APLICANDO FORMULA GRUPO 3 - ENQUADRAMENTO]])</f>
        <v>1</v>
      </c>
    </row>
    <row r="98" spans="1:15">
      <c r="A98" s="385">
        <v>96</v>
      </c>
      <c r="B98" s="409" t="s">
        <v>193</v>
      </c>
      <c r="C98" s="381">
        <v>0.64943537962488718</v>
      </c>
      <c r="D98" s="258">
        <f t="shared" si="1"/>
        <v>64.943537962488719</v>
      </c>
      <c r="E98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98" s="320">
        <v>65.079365079365076</v>
      </c>
      <c r="G98" s="383">
        <f>Tabela746[[#This Row],[Meta 2024 (N)]]*$E$6</f>
        <v>42.592355000000005</v>
      </c>
      <c r="H98" s="386">
        <v>65.526700000000005</v>
      </c>
      <c r="I98" s="258" t="b">
        <f t="shared" si="2"/>
        <v>0</v>
      </c>
      <c r="J98" s="258" t="b">
        <f t="shared" ref="J98:J104" si="3">IF(E98="Grupo 2",IF(J98&lt;=0,0,IF(AND(J98&gt;0,J98&lt;0.25),0.25,IF(AND(J98&gt;=0.25,J98&lt;0.5),0.5,IF(AND(J98&gt;=0.5,J98&lt;0.75),0.75,IF(AND(J98&gt;=0.75,J98&lt;1),1,1))))))</f>
        <v>0</v>
      </c>
      <c r="K98" s="258">
        <f>IF(E98="Intermediário", MAX(0, MIN(1, (Tabela746[[#This Row],[TCC 2024 (N)]]-Tabela746[[#This Row],[Linha de Base 2024 (N) ]])/(Tabela746[[#This Row],[Meta 2024 (N)]]-Tabela746[[#This Row],[Linha de Base 2024 (N) ]]))), "FALSO")</f>
        <v>0.97457254447374508</v>
      </c>
      <c r="L98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98" s="259">
        <f>SUM(Tabela746[[#This Row],[ICM Atribuído - Grupo 1]:[ICM Atribuído - Grupo 4]])</f>
        <v>0.97457254447374508</v>
      </c>
      <c r="N98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98" s="258">
        <f>IF(Tabela746[[#This Row],[APLICANDO FORMULA GRUPO 3 - ENQUADRAMENTO]]&lt;0,0,Tabela746[[#This Row],[APLICANDO FORMULA GRUPO 3 - ENQUADRAMENTO]])</f>
        <v>1</v>
      </c>
    </row>
    <row r="99" spans="1:15">
      <c r="A99" s="380">
        <v>97</v>
      </c>
      <c r="B99" s="408" t="s">
        <v>140</v>
      </c>
      <c r="C99" s="381">
        <v>0.61843487394957986</v>
      </c>
      <c r="D99" s="258">
        <f t="shared" si="1"/>
        <v>61.843487394957982</v>
      </c>
      <c r="E99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99" s="320">
        <v>75</v>
      </c>
      <c r="G99" s="383">
        <f>Tabela746[[#This Row],[Meta 2024 (N)]]*$E$6</f>
        <v>48.866350000000004</v>
      </c>
      <c r="H99" s="386">
        <v>75.179000000000002</v>
      </c>
      <c r="I99" s="258" t="b">
        <f t="shared" si="2"/>
        <v>0</v>
      </c>
      <c r="J99" s="258" t="b">
        <f t="shared" si="3"/>
        <v>0</v>
      </c>
      <c r="K99" s="258">
        <f>IF(E99="Intermediário", MAX(0, MIN(1, (Tabela746[[#This Row],[TCC 2024 (N)]]-Tabela746[[#This Row],[Linha de Base 2024 (N) ]])/(Tabela746[[#This Row],[Meta 2024 (N)]]-Tabela746[[#This Row],[Linha de Base 2024 (N) ]]))), "FALSO")</f>
        <v>0.49319005858239207</v>
      </c>
      <c r="L99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99" s="259">
        <f>SUM(Tabela746[[#This Row],[ICM Atribuído - Grupo 1]:[ICM Atribuído - Grupo 4]])</f>
        <v>0.49319005858239207</v>
      </c>
      <c r="N99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0.5</v>
      </c>
      <c r="O99" s="258">
        <f>IF(Tabela746[[#This Row],[APLICANDO FORMULA GRUPO 3 - ENQUADRAMENTO]]&lt;0,0,Tabela746[[#This Row],[APLICANDO FORMULA GRUPO 3 - ENQUADRAMENTO]])</f>
        <v>0.5</v>
      </c>
    </row>
    <row r="100" spans="1:15">
      <c r="A100" s="385">
        <v>98</v>
      </c>
      <c r="B100" s="409" t="s">
        <v>110</v>
      </c>
      <c r="C100" s="381">
        <v>0.67963069229823336</v>
      </c>
      <c r="D100" s="258">
        <f t="shared" si="1"/>
        <v>67.963069229823333</v>
      </c>
      <c r="E100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00" s="320">
        <v>64.603960396039611</v>
      </c>
      <c r="G100" s="383">
        <f>Tabela746[[#This Row],[Meta 2024 (N)]]*$E$6</f>
        <v>42.311425</v>
      </c>
      <c r="H100" s="386">
        <v>65.094499999999996</v>
      </c>
      <c r="I100" s="258" t="b">
        <f t="shared" si="2"/>
        <v>0</v>
      </c>
      <c r="J100" s="258" t="b">
        <f t="shared" si="3"/>
        <v>0</v>
      </c>
      <c r="K100" s="258">
        <f>IF(E100="Intermediário", MAX(0, MIN(1, (Tabela746[[#This Row],[TCC 2024 (N)]]-Tabela746[[#This Row],[Linha de Base 2024 (N) ]])/(Tabela746[[#This Row],[Meta 2024 (N)]]-Tabela746[[#This Row],[Linha de Base 2024 (N) ]]))), "FALSO")</f>
        <v>1</v>
      </c>
      <c r="L100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00" s="259">
        <f>SUM(Tabela746[[#This Row],[ICM Atribuído - Grupo 1]:[ICM Atribuído - Grupo 4]])</f>
        <v>1</v>
      </c>
      <c r="N100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00" s="258">
        <f>IF(Tabela746[[#This Row],[APLICANDO FORMULA GRUPO 3 - ENQUADRAMENTO]]&lt;0,0,Tabela746[[#This Row],[APLICANDO FORMULA GRUPO 3 - ENQUADRAMENTO]])</f>
        <v>1</v>
      </c>
    </row>
    <row r="101" spans="1:15">
      <c r="A101" s="380">
        <v>99</v>
      </c>
      <c r="B101" s="408" t="s">
        <v>204</v>
      </c>
      <c r="C101" s="381">
        <v>0.64614436378578277</v>
      </c>
      <c r="D101" s="258">
        <f t="shared" si="1"/>
        <v>64.614436378578276</v>
      </c>
      <c r="E101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01" s="320">
        <v>67.46987951807229</v>
      </c>
      <c r="G101" s="383">
        <f>Tabela746[[#This Row],[Meta 2024 (N)]]*$E$6</f>
        <v>44.004935000000003</v>
      </c>
      <c r="H101" s="386">
        <v>67.6999</v>
      </c>
      <c r="I101" s="258" t="b">
        <f t="shared" si="2"/>
        <v>0</v>
      </c>
      <c r="J101" s="258" t="b">
        <f t="shared" si="3"/>
        <v>0</v>
      </c>
      <c r="K101" s="258">
        <f>IF(E101="Intermediário", MAX(0, MIN(1, (Tabela746[[#This Row],[TCC 2024 (N)]]-Tabela746[[#This Row],[Linha de Base 2024 (N) ]])/(Tabela746[[#This Row],[Meta 2024 (N)]]-Tabela746[[#This Row],[Linha de Base 2024 (N) ]]))), "FALSO")</f>
        <v>0.86978399751079083</v>
      </c>
      <c r="L101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01" s="259">
        <f>SUM(Tabela746[[#This Row],[ICM Atribuído - Grupo 1]:[ICM Atribuído - Grupo 4]])</f>
        <v>0.86978399751079083</v>
      </c>
      <c r="N101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01" s="258">
        <f>IF(Tabela746[[#This Row],[APLICANDO FORMULA GRUPO 3 - ENQUADRAMENTO]]&lt;0,0,Tabela746[[#This Row],[APLICANDO FORMULA GRUPO 3 - ENQUADRAMENTO]])</f>
        <v>1</v>
      </c>
    </row>
    <row r="102" spans="1:15">
      <c r="A102" s="385">
        <v>100</v>
      </c>
      <c r="B102" s="409" t="s">
        <v>183</v>
      </c>
      <c r="C102" s="381">
        <v>0.67629327497015512</v>
      </c>
      <c r="D102" s="258">
        <f t="shared" si="1"/>
        <v>67.62932749701551</v>
      </c>
      <c r="E102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02" s="320">
        <v>62.142857142857146</v>
      </c>
      <c r="G102" s="383">
        <f>Tabela746[[#This Row],[Meta 2024 (N)]]*$E$6</f>
        <v>40.857115</v>
      </c>
      <c r="H102" s="386">
        <v>62.857100000000003</v>
      </c>
      <c r="I102" s="258" t="b">
        <f t="shared" si="2"/>
        <v>0</v>
      </c>
      <c r="J102" s="258" t="b">
        <f t="shared" si="3"/>
        <v>0</v>
      </c>
      <c r="K102" s="258">
        <f>IF(E102="Intermediário", MAX(0, MIN(1, (Tabela746[[#This Row],[TCC 2024 (N)]]-Tabela746[[#This Row],[Linha de Base 2024 (N) ]])/(Tabela746[[#This Row],[Meta 2024 (N)]]-Tabela746[[#This Row],[Linha de Base 2024 (N) ]]))), "FALSO")</f>
        <v>1</v>
      </c>
      <c r="L102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02" s="259">
        <f>SUM(Tabela746[[#This Row],[ICM Atribuído - Grupo 1]:[ICM Atribuído - Grupo 4]])</f>
        <v>1</v>
      </c>
      <c r="N102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02" s="258">
        <f>IF(Tabela746[[#This Row],[APLICANDO FORMULA GRUPO 3 - ENQUADRAMENTO]]&lt;0,0,Tabela746[[#This Row],[APLICANDO FORMULA GRUPO 3 - ENQUADRAMENTO]])</f>
        <v>1</v>
      </c>
    </row>
    <row r="103" spans="1:15">
      <c r="A103" s="380">
        <v>101</v>
      </c>
      <c r="B103" s="408" t="s">
        <v>137</v>
      </c>
      <c r="C103" s="381">
        <v>0.65779681361850728</v>
      </c>
      <c r="D103" s="258">
        <f t="shared" si="1"/>
        <v>65.779681361850734</v>
      </c>
      <c r="E103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03" s="320">
        <v>64.601769911504419</v>
      </c>
      <c r="G103" s="383">
        <f>Tabela746[[#This Row],[Meta 2024 (N)]]*$E$6</f>
        <v>42.310124999999999</v>
      </c>
      <c r="H103" s="386">
        <v>65.092500000000001</v>
      </c>
      <c r="I103" s="258" t="b">
        <f t="shared" si="2"/>
        <v>0</v>
      </c>
      <c r="J103" s="258" t="b">
        <f t="shared" si="3"/>
        <v>0</v>
      </c>
      <c r="K103" s="258">
        <f>IF(E103="Intermediário", MAX(0, MIN(1, (Tabela746[[#This Row],[TCC 2024 (N)]]-Tabela746[[#This Row],[Linha de Base 2024 (N) ]])/(Tabela746[[#This Row],[Meta 2024 (N)]]-Tabela746[[#This Row],[Linha de Base 2024 (N) ]]))), "FALSO")</f>
        <v>1</v>
      </c>
      <c r="L103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03" s="259">
        <f>SUM(Tabela746[[#This Row],[ICM Atribuído - Grupo 1]:[ICM Atribuído - Grupo 4]])</f>
        <v>1</v>
      </c>
      <c r="N103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03" s="258">
        <f>IF(Tabela746[[#This Row],[APLICANDO FORMULA GRUPO 3 - ENQUADRAMENTO]]&lt;0,0,Tabela746[[#This Row],[APLICANDO FORMULA GRUPO 3 - ENQUADRAMENTO]])</f>
        <v>1</v>
      </c>
    </row>
    <row r="104" spans="1:15">
      <c r="A104" s="385">
        <v>102</v>
      </c>
      <c r="B104" s="409" t="s">
        <v>219</v>
      </c>
      <c r="C104" s="381">
        <v>0.58164893617021285</v>
      </c>
      <c r="D104" s="258">
        <f t="shared" si="1"/>
        <v>58.164893617021285</v>
      </c>
      <c r="E104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04" s="320">
        <v>55.000000000000007</v>
      </c>
      <c r="G104" s="383">
        <f>Tabela746[[#This Row],[Meta 2024 (N)]]*$E$6</f>
        <v>36.636339999999997</v>
      </c>
      <c r="H104" s="386">
        <v>56.363599999999998</v>
      </c>
      <c r="I104" s="258" t="b">
        <f t="shared" si="2"/>
        <v>0</v>
      </c>
      <c r="J104" s="258" t="b">
        <f t="shared" si="3"/>
        <v>0</v>
      </c>
      <c r="K104" s="258">
        <f>IF(E104="Intermediário", MAX(0, MIN(1, (Tabela746[[#This Row],[TCC 2024 (N)]]-Tabela746[[#This Row],[Linha de Base 2024 (N) ]])/(Tabela746[[#This Row],[Meta 2024 (N)]]-Tabela746[[#This Row],[Linha de Base 2024 (N) ]]))), "FALSO")</f>
        <v>1</v>
      </c>
      <c r="L104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04" s="259">
        <f>SUM(Tabela746[[#This Row],[ICM Atribuído - Grupo 1]:[ICM Atribuído - Grupo 4]])</f>
        <v>1</v>
      </c>
      <c r="N104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04" s="258">
        <f>IF(Tabela746[[#This Row],[APLICANDO FORMULA GRUPO 3 - ENQUADRAMENTO]]&lt;0,0,Tabela746[[#This Row],[APLICANDO FORMULA GRUPO 3 - ENQUADRAMENTO]])</f>
        <v>1</v>
      </c>
    </row>
    <row r="105" spans="1:15">
      <c r="A105" s="380">
        <v>103</v>
      </c>
      <c r="B105" s="408" t="s">
        <v>195</v>
      </c>
      <c r="C105" s="381">
        <v>0.74673913043478257</v>
      </c>
      <c r="D105" s="258">
        <f t="shared" si="1"/>
        <v>74.673913043478251</v>
      </c>
      <c r="E105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05" s="320">
        <v>69.701492537313442</v>
      </c>
      <c r="G105" s="383">
        <f>Tabela746[[#This Row],[Meta 2024 (N)]]*$E$6</f>
        <v>45.323590000000003</v>
      </c>
      <c r="H105" s="386">
        <v>69.7286</v>
      </c>
      <c r="I105" s="258" t="b">
        <f t="shared" si="2"/>
        <v>0</v>
      </c>
      <c r="J105" s="258">
        <f>IF(E105="Excelência",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105" s="258" t="str">
        <f>IF(E105="Intermediário", MAX(0, MIN(1, (Tabela746[[#This Row],[TCC 2024 (N)]]-Tabela746[[#This Row],[Linha de Base 2024 (N) ]])/(Tabela746[[#This Row],[Meta 2024 (N)]]-Tabela746[[#This Row],[Linha de Base 2024 (N) ]]))), "FALSO")</f>
        <v>FALSO</v>
      </c>
      <c r="L105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05" s="259">
        <f>SUM(Tabela746[[#This Row],[ICM Atribuído - Grupo 1]:[ICM Atribuído - Grupo 4]])</f>
        <v>1</v>
      </c>
      <c r="N105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05" s="258">
        <f>IF(Tabela746[[#This Row],[APLICANDO FORMULA GRUPO 3 - ENQUADRAMENTO]]&lt;0,0,Tabela746[[#This Row],[APLICANDO FORMULA GRUPO 3 - ENQUADRAMENTO]])</f>
        <v>1</v>
      </c>
    </row>
    <row r="106" spans="1:15">
      <c r="A106" s="385">
        <v>104</v>
      </c>
      <c r="B106" s="409" t="s">
        <v>136</v>
      </c>
      <c r="C106" s="381">
        <v>0.74600578390935379</v>
      </c>
      <c r="D106" s="258">
        <f t="shared" si="1"/>
        <v>74.600578390935382</v>
      </c>
      <c r="E106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06" s="320">
        <v>68.326693227091624</v>
      </c>
      <c r="G106" s="383">
        <f>Tabela746[[#This Row],[Meta 2024 (N)]]*$E$6</f>
        <v>44.511220000000009</v>
      </c>
      <c r="H106" s="386">
        <v>68.478800000000007</v>
      </c>
      <c r="I106" s="258" t="b">
        <f t="shared" si="2"/>
        <v>0</v>
      </c>
      <c r="J106" s="258">
        <f>IF(E106="Excelência",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106" s="258" t="str">
        <f>IF(E106="Intermediário", MAX(0, MIN(1, (Tabela746[[#This Row],[TCC 2024 (N)]]-Tabela746[[#This Row],[Linha de Base 2024 (N) ]])/(Tabela746[[#This Row],[Meta 2024 (N)]]-Tabela746[[#This Row],[Linha de Base 2024 (N) ]]))), "FALSO")</f>
        <v>FALSO</v>
      </c>
      <c r="L106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06" s="259">
        <f>SUM(Tabela746[[#This Row],[ICM Atribuído - Grupo 1]:[ICM Atribuído - Grupo 4]])</f>
        <v>1</v>
      </c>
      <c r="N106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06" s="258">
        <f>IF(Tabela746[[#This Row],[APLICANDO FORMULA GRUPO 3 - ENQUADRAMENTO]]&lt;0,0,Tabela746[[#This Row],[APLICANDO FORMULA GRUPO 3 - ENQUADRAMENTO]])</f>
        <v>1</v>
      </c>
    </row>
    <row r="107" spans="1:15">
      <c r="A107" s="380">
        <v>107</v>
      </c>
      <c r="B107" s="408" t="s">
        <v>156</v>
      </c>
      <c r="C107" s="381">
        <v>0.64957430053045273</v>
      </c>
      <c r="D107" s="258">
        <f t="shared" si="1"/>
        <v>64.957430053045272</v>
      </c>
      <c r="E107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07" s="320">
        <v>65.775401069518708</v>
      </c>
      <c r="G107" s="383">
        <f>Tabela746[[#This Row],[Meta 2024 (N)]]*$E$6</f>
        <v>43.003675000000001</v>
      </c>
      <c r="H107" s="386">
        <v>66.159499999999994</v>
      </c>
      <c r="I107" s="258" t="b">
        <f t="shared" si="2"/>
        <v>0</v>
      </c>
      <c r="J107" s="258" t="b">
        <f>IF(E107="Grupo 2",IF(J107&lt;=0,0,IF(AND(J107&gt;0,J107&lt;0.25),0.25,IF(AND(J107&gt;=0.25,J107&lt;0.5),0.5,IF(AND(J107&gt;=0.5,J107&lt;0.75),0.75,IF(AND(J107&gt;=0.75,J107&lt;1),1,1))))))</f>
        <v>0</v>
      </c>
      <c r="K107" s="258">
        <f>IF(E107="Intermediário", MAX(0, MIN(1, (Tabela746[[#This Row],[TCC 2024 (N)]]-Tabela746[[#This Row],[Linha de Base 2024 (N) ]])/(Tabela746[[#This Row],[Meta 2024 (N)]]-Tabela746[[#This Row],[Linha de Base 2024 (N) ]]))), "FALSO")</f>
        <v>0.94808779445540281</v>
      </c>
      <c r="L107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07" s="259">
        <f>SUM(Tabela746[[#This Row],[ICM Atribuído - Grupo 1]:[ICM Atribuído - Grupo 4]])</f>
        <v>0.94808779445540281</v>
      </c>
      <c r="N107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07" s="258">
        <f>IF(Tabela746[[#This Row],[APLICANDO FORMULA GRUPO 3 - ENQUADRAMENTO]]&lt;0,0,Tabela746[[#This Row],[APLICANDO FORMULA GRUPO 3 - ENQUADRAMENTO]])</f>
        <v>1</v>
      </c>
    </row>
    <row r="108" spans="1:15">
      <c r="A108" s="385">
        <v>108</v>
      </c>
      <c r="B108" s="409" t="s">
        <v>71</v>
      </c>
      <c r="C108" s="381">
        <v>0.68311628603199037</v>
      </c>
      <c r="D108" s="258">
        <f t="shared" si="1"/>
        <v>68.31162860319904</v>
      </c>
      <c r="E108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08" s="320">
        <v>75.551102204408821</v>
      </c>
      <c r="G108" s="383">
        <f>Tabela746[[#This Row],[Meta 2024 (N)]]*$E$6</f>
        <v>49.192000000000007</v>
      </c>
      <c r="H108" s="386">
        <v>75.680000000000007</v>
      </c>
      <c r="I108" s="258" t="b">
        <f t="shared" si="2"/>
        <v>0</v>
      </c>
      <c r="J108" s="258" t="b">
        <f>IF(E108="Grupo 2",IF(J108&lt;=0,0,IF(AND(J108&gt;0,J108&lt;0.25),0.25,IF(AND(J108&gt;=0.25,J108&lt;0.5),0.5,IF(AND(J108&gt;=0.5,J108&lt;0.75),0.75,IF(AND(J108&gt;=0.75,J108&lt;1),1,1))))))</f>
        <v>0</v>
      </c>
      <c r="K108" s="258">
        <f>IF(E108="Intermediário", MAX(0, MIN(1, (Tabela746[[#This Row],[TCC 2024 (N)]]-Tabela746[[#This Row],[Linha de Base 2024 (N) ]])/(Tabela746[[#This Row],[Meta 2024 (N)]]-Tabela746[[#This Row],[Linha de Base 2024 (N) ]]))), "FALSO")</f>
        <v>0.72182228190875242</v>
      </c>
      <c r="L108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08" s="259">
        <f>SUM(Tabela746[[#This Row],[ICM Atribuído - Grupo 1]:[ICM Atribuído - Grupo 4]])</f>
        <v>0.72182228190875242</v>
      </c>
      <c r="N108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0.75</v>
      </c>
      <c r="O108" s="258">
        <f>IF(Tabela746[[#This Row],[APLICANDO FORMULA GRUPO 3 - ENQUADRAMENTO]]&lt;0,0,Tabela746[[#This Row],[APLICANDO FORMULA GRUPO 3 - ENQUADRAMENTO]])</f>
        <v>0.75</v>
      </c>
    </row>
    <row r="109" spans="1:15">
      <c r="A109" s="380">
        <v>110</v>
      </c>
      <c r="B109" s="408" t="s">
        <v>129</v>
      </c>
      <c r="C109" s="381">
        <v>0.66250000000000009</v>
      </c>
      <c r="D109" s="258">
        <f t="shared" si="1"/>
        <v>66.250000000000014</v>
      </c>
      <c r="E109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09" s="320">
        <v>68.738898756660745</v>
      </c>
      <c r="G109" s="383">
        <f>Tabela746[[#This Row],[Meta 2024 (N)]]*$E$6</f>
        <v>44.754775000000002</v>
      </c>
      <c r="H109" s="386">
        <v>68.853499999999997</v>
      </c>
      <c r="I109" s="258" t="b">
        <f t="shared" si="2"/>
        <v>0</v>
      </c>
      <c r="J109" s="258" t="b">
        <f>IF(E109="Grupo 2",IF(J109&lt;=0,0,IF(AND(J109&gt;0,J109&lt;0.25),0.25,IF(AND(J109&gt;=0.25,J109&lt;0.5),0.5,IF(AND(J109&gt;=0.5,J109&lt;0.75),0.75,IF(AND(J109&gt;=0.75,J109&lt;1),1,1))))))</f>
        <v>0</v>
      </c>
      <c r="K109" s="258">
        <f>IF(E109="Intermediário", MAX(0, MIN(1, (Tabela746[[#This Row],[TCC 2024 (N)]]-Tabela746[[#This Row],[Linha de Base 2024 (N) ]])/(Tabela746[[#This Row],[Meta 2024 (N)]]-Tabela746[[#This Row],[Linha de Base 2024 (N) ]]))), "FALSO")</f>
        <v>0.89196523882487633</v>
      </c>
      <c r="L109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09" s="259">
        <f>SUM(Tabela746[[#This Row],[ICM Atribuído - Grupo 1]:[ICM Atribuído - Grupo 4]])</f>
        <v>0.89196523882487633</v>
      </c>
      <c r="N109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09" s="258">
        <f>IF(Tabela746[[#This Row],[APLICANDO FORMULA GRUPO 3 - ENQUADRAMENTO]]&lt;0,0,Tabela746[[#This Row],[APLICANDO FORMULA GRUPO 3 - ENQUADRAMENTO]])</f>
        <v>1</v>
      </c>
    </row>
    <row r="110" spans="1:15">
      <c r="A110" s="385">
        <v>115</v>
      </c>
      <c r="B110" s="409" t="s">
        <v>23</v>
      </c>
      <c r="C110" s="381">
        <v>0.72638888888888897</v>
      </c>
      <c r="D110" s="258">
        <f t="shared" si="1"/>
        <v>72.6388888888889</v>
      </c>
      <c r="E110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10" s="320">
        <v>82.478632478632477</v>
      </c>
      <c r="G110" s="383">
        <f>Tabela746[[#This Row],[Meta 2024 (N)]]*$E$6</f>
        <v>54.277144999999997</v>
      </c>
      <c r="H110" s="386">
        <v>83.503299999999996</v>
      </c>
      <c r="I110" s="258" t="b">
        <f t="shared" si="2"/>
        <v>0</v>
      </c>
      <c r="J110" s="258">
        <f>IF(E110="Excelência",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0.85</v>
      </c>
      <c r="K110" s="258" t="str">
        <f>IF(E110="Intermediário", MAX(0, MIN(1, (Tabela746[[#This Row],[TCC 2024 (N)]]-Tabela746[[#This Row],[Linha de Base 2024 (N) ]])/(Tabela746[[#This Row],[Meta 2024 (N)]]-Tabela746[[#This Row],[Linha de Base 2024 (N) ]]))), "FALSO")</f>
        <v>FALSO</v>
      </c>
      <c r="L110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10" s="259">
        <f>SUM(Tabela746[[#This Row],[ICM Atribuído - Grupo 1]:[ICM Atribuído - Grupo 4]])</f>
        <v>0.85</v>
      </c>
      <c r="N110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0.85</v>
      </c>
      <c r="O110" s="258">
        <f>IF(Tabela746[[#This Row],[APLICANDO FORMULA GRUPO 3 - ENQUADRAMENTO]]&lt;0,0,Tabela746[[#This Row],[APLICANDO FORMULA GRUPO 3 - ENQUADRAMENTO]])</f>
        <v>0.85</v>
      </c>
    </row>
    <row r="111" spans="1:15">
      <c r="A111" s="380">
        <v>116</v>
      </c>
      <c r="B111" s="408" t="s">
        <v>121</v>
      </c>
      <c r="C111" s="381">
        <v>0.75520833333333326</v>
      </c>
      <c r="D111" s="258">
        <f t="shared" si="1"/>
        <v>75.520833333333329</v>
      </c>
      <c r="E111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11" s="320">
        <v>65.5</v>
      </c>
      <c r="G111" s="383">
        <f>Tabela746[[#This Row],[Meta 2024 (N)]]*$E$6</f>
        <v>42.840914999999995</v>
      </c>
      <c r="H111" s="386">
        <v>65.909099999999995</v>
      </c>
      <c r="I111" s="258" t="b">
        <f t="shared" si="2"/>
        <v>0</v>
      </c>
      <c r="J111" s="258">
        <f>IF(E111="Excelência",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111" s="258" t="str">
        <f>IF(E111="Intermediário", MAX(0, MIN(1, (Tabela746[[#This Row],[TCC 2024 (N)]]-Tabela746[[#This Row],[Linha de Base 2024 (N) ]])/(Tabela746[[#This Row],[Meta 2024 (N)]]-Tabela746[[#This Row],[Linha de Base 2024 (N) ]]))), "FALSO")</f>
        <v>FALSO</v>
      </c>
      <c r="L111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11" s="259">
        <f>SUM(Tabela746[[#This Row],[ICM Atribuído - Grupo 1]:[ICM Atribuído - Grupo 4]])</f>
        <v>1</v>
      </c>
      <c r="N111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11" s="258">
        <f>IF(Tabela746[[#This Row],[APLICANDO FORMULA GRUPO 3 - ENQUADRAMENTO]]&lt;0,0,Tabela746[[#This Row],[APLICANDO FORMULA GRUPO 3 - ENQUADRAMENTO]])</f>
        <v>1</v>
      </c>
    </row>
    <row r="112" spans="1:15">
      <c r="A112" s="385">
        <v>117</v>
      </c>
      <c r="B112" s="409" t="s">
        <v>53</v>
      </c>
      <c r="C112" s="381">
        <v>0.72852382618653777</v>
      </c>
      <c r="D112" s="258">
        <f t="shared" si="1"/>
        <v>72.852382618653778</v>
      </c>
      <c r="E112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12" s="320">
        <v>74.908424908424905</v>
      </c>
      <c r="G112" s="383">
        <f>Tabela746[[#This Row],[Meta 2024 (N)]]*$E$6</f>
        <v>48.812204999999999</v>
      </c>
      <c r="H112" s="386">
        <v>75.095699999999994</v>
      </c>
      <c r="I112" s="258" t="b">
        <f t="shared" si="2"/>
        <v>0</v>
      </c>
      <c r="J112" s="258">
        <f>IF(E112="Excelência",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0.85</v>
      </c>
      <c r="K112" s="258" t="str">
        <f>IF(E112="Intermediário", MAX(0, MIN(1, (Tabela746[[#This Row],[TCC 2024 (N)]]-Tabela746[[#This Row],[Linha de Base 2024 (N) ]])/(Tabela746[[#This Row],[Meta 2024 (N)]]-Tabela746[[#This Row],[Linha de Base 2024 (N) ]]))), "FALSO")</f>
        <v>FALSO</v>
      </c>
      <c r="L112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12" s="259">
        <f>SUM(Tabela746[[#This Row],[ICM Atribuído - Grupo 1]:[ICM Atribuído - Grupo 4]])</f>
        <v>0.85</v>
      </c>
      <c r="N112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0.85</v>
      </c>
      <c r="O112" s="258">
        <f>IF(Tabela746[[#This Row],[APLICANDO FORMULA GRUPO 3 - ENQUADRAMENTO]]&lt;0,0,Tabela746[[#This Row],[APLICANDO FORMULA GRUPO 3 - ENQUADRAMENTO]])</f>
        <v>0.85</v>
      </c>
    </row>
    <row r="113" spans="1:15">
      <c r="A113" s="380">
        <v>118</v>
      </c>
      <c r="B113" s="408" t="s">
        <v>49</v>
      </c>
      <c r="C113" s="381">
        <v>0.72432495344506509</v>
      </c>
      <c r="D113" s="258">
        <f t="shared" si="1"/>
        <v>72.432495344506506</v>
      </c>
      <c r="E113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13" s="320">
        <v>74.83443708609272</v>
      </c>
      <c r="G113" s="383">
        <f>Tabela746[[#This Row],[Meta 2024 (N)]]*$E$6</f>
        <v>48.768460000000005</v>
      </c>
      <c r="H113" s="386">
        <v>75.028400000000005</v>
      </c>
      <c r="I113" s="258" t="b">
        <f t="shared" si="2"/>
        <v>0</v>
      </c>
      <c r="J113" s="258">
        <f>IF(E113="Excelência",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0.85</v>
      </c>
      <c r="K113" s="258" t="str">
        <f>IF(E113="Intermediário", MAX(0, MIN(1, (Tabela746[[#This Row],[TCC 2024 (N)]]-Tabela746[[#This Row],[Linha de Base 2024 (N) ]])/(Tabela746[[#This Row],[Meta 2024 (N)]]-Tabela746[[#This Row],[Linha de Base 2024 (N) ]]))), "FALSO")</f>
        <v>FALSO</v>
      </c>
      <c r="L113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13" s="259">
        <f>SUM(Tabela746[[#This Row],[ICM Atribuído - Grupo 1]:[ICM Atribuído - Grupo 4]])</f>
        <v>0.85</v>
      </c>
      <c r="N113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0.85</v>
      </c>
      <c r="O113" s="258">
        <f>IF(Tabela746[[#This Row],[APLICANDO FORMULA GRUPO 3 - ENQUADRAMENTO]]&lt;0,0,Tabela746[[#This Row],[APLICANDO FORMULA GRUPO 3 - ENQUADRAMENTO]])</f>
        <v>0.85</v>
      </c>
    </row>
    <row r="114" spans="1:15">
      <c r="A114" s="385">
        <v>122</v>
      </c>
      <c r="B114" s="409" t="s">
        <v>85</v>
      </c>
      <c r="C114" s="381">
        <v>0.72114449893067767</v>
      </c>
      <c r="D114" s="258">
        <f t="shared" si="1"/>
        <v>72.114449893067771</v>
      </c>
      <c r="E114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14" s="320">
        <v>72.070626003210265</v>
      </c>
      <c r="G114" s="383">
        <f>Tabela746[[#This Row],[Meta 2024 (N)]]*$E$6</f>
        <v>47.135335000000005</v>
      </c>
      <c r="H114" s="386">
        <v>72.515900000000002</v>
      </c>
      <c r="I114" s="258" t="b">
        <f t="shared" si="2"/>
        <v>0</v>
      </c>
      <c r="J114" s="258">
        <f>IF(E114="Excelência",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114" s="258" t="str">
        <f>IF(E114="Intermediário", MAX(0, MIN(1, (Tabela746[[#This Row],[TCC 2024 (N)]]-Tabela746[[#This Row],[Linha de Base 2024 (N) ]])/(Tabela746[[#This Row],[Meta 2024 (N)]]-Tabela746[[#This Row],[Linha de Base 2024 (N) ]]))), "FALSO")</f>
        <v>FALSO</v>
      </c>
      <c r="L114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14" s="259">
        <f>SUM(Tabela746[[#This Row],[ICM Atribuído - Grupo 1]:[ICM Atribuído - Grupo 4]])</f>
        <v>1</v>
      </c>
      <c r="N114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14" s="258">
        <f>IF(Tabela746[[#This Row],[APLICANDO FORMULA GRUPO 3 - ENQUADRAMENTO]]&lt;0,0,Tabela746[[#This Row],[APLICANDO FORMULA GRUPO 3 - ENQUADRAMENTO]])</f>
        <v>1</v>
      </c>
    </row>
    <row r="115" spans="1:15">
      <c r="A115" s="380">
        <v>123</v>
      </c>
      <c r="B115" s="408" t="s">
        <v>5</v>
      </c>
      <c r="C115" s="381">
        <v>0.76846484165324747</v>
      </c>
      <c r="D115" s="258">
        <f t="shared" si="1"/>
        <v>76.846484165324753</v>
      </c>
      <c r="E115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115" s="320">
        <v>83.374689826302728</v>
      </c>
      <c r="G115" s="383">
        <f>Tabela746[[#This Row],[Meta 2024 (N)]]*$E$6</f>
        <v>54.806635</v>
      </c>
      <c r="H115" s="386">
        <v>84.317899999999995</v>
      </c>
      <c r="I115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0.8</v>
      </c>
      <c r="J115" s="258" t="b">
        <f>IF(E115="Excelência",
   IF(Tabela746[[#This Row],[TCC 2024 (N)]]&gt;=Tabela746[[#This Row],[TCC 2023(n)]],1,
      IF(Tabela746[[#This Row],[TCC 2024 (N)]]&gt;=C109,0.9,
         IF(AND(Tabela746[[#This Row],[TCC 2024 (N)]]&lt;C109, Tabela746[[#This Row],[TCC 2024 (N)]]&gt;C112),0.85,
            IF(AND(Tabela746[[#This Row],[TCC 2024 (N)]]&lt;C112, Tabela746[[#This Row],[TCC 2024 (N)]]&gt;=C111),0.8,
              IF(AND(Tabela746[[#This Row],[TCC 2024 (N)]]&lt;C111, Tabela746[[#This Row],[TCC 2024 (N)]]&gt;=C105),0.7, FALSE))))) )</f>
        <v>0</v>
      </c>
      <c r="K115" s="258" t="str">
        <f>IF(E115="Intermediário", MAX(0, MIN(1, (Tabela746[[#This Row],[TCC 2024 (N)]]-Tabela746[[#This Row],[Linha de Base 2024 (N) ]])/(Tabela746[[#This Row],[Meta 2024 (N)]]-Tabela746[[#This Row],[Linha de Base 2024 (N) ]]))), "FALSO")</f>
        <v>FALSO</v>
      </c>
      <c r="L115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15" s="259">
        <f>SUM(Tabela746[[#This Row],[ICM Atribuído - Grupo 1]:[ICM Atribuído - Grupo 4]])</f>
        <v>0.8</v>
      </c>
      <c r="N115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0.8</v>
      </c>
      <c r="O115" s="258">
        <f>IF(Tabela746[[#This Row],[APLICANDO FORMULA GRUPO 3 - ENQUADRAMENTO]]&lt;0,0,Tabela746[[#This Row],[APLICANDO FORMULA GRUPO 3 - ENQUADRAMENTO]])</f>
        <v>0.8</v>
      </c>
    </row>
    <row r="116" spans="1:15">
      <c r="A116" s="385">
        <v>124</v>
      </c>
      <c r="B116" s="409" t="s">
        <v>77</v>
      </c>
      <c r="C116" s="381">
        <v>0.9</v>
      </c>
      <c r="D116" s="258">
        <f t="shared" si="1"/>
        <v>90</v>
      </c>
      <c r="E116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116" s="320">
        <v>72.195121951219505</v>
      </c>
      <c r="G116" s="383">
        <f>Tabela746[[#This Row],[Meta 2024 (N)]]*$E$6</f>
        <v>47.208914999999998</v>
      </c>
      <c r="H116" s="386">
        <v>72.629099999999994</v>
      </c>
      <c r="I116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116" s="258" t="b">
        <f>IF(E116="Grupo 2",IF(J116&lt;=0,0,IF(AND(J116&gt;0,J116&lt;0.25),0.25,IF(AND(J116&gt;=0.25,J116&lt;0.5),0.5,IF(AND(J116&gt;=0.5,J116&lt;0.75),0.75,IF(AND(J116&gt;=0.75,J116&lt;1),1,1))))))</f>
        <v>0</v>
      </c>
      <c r="K116" s="258" t="str">
        <f>IF(E116="Intermediário", MAX(0, MIN(1, (Tabela746[[#This Row],[TCC 2024 (N)]]-Tabela746[[#This Row],[Linha de Base 2024 (N) ]])/(Tabela746[[#This Row],[Meta 2024 (N)]]-Tabela746[[#This Row],[Linha de Base 2024 (N) ]]))), "FALSO")</f>
        <v>FALSO</v>
      </c>
      <c r="L116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16" s="259">
        <f>SUM(Tabela746[[#This Row],[ICM Atribuído - Grupo 1]:[ICM Atribuído - Grupo 4]])</f>
        <v>1</v>
      </c>
      <c r="N116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16" s="258">
        <f>IF(Tabela746[[#This Row],[APLICANDO FORMULA GRUPO 3 - ENQUADRAMENTO]]&lt;0,0,Tabela746[[#This Row],[APLICANDO FORMULA GRUPO 3 - ENQUADRAMENTO]])</f>
        <v>1</v>
      </c>
    </row>
    <row r="117" spans="1:15">
      <c r="A117" s="380">
        <v>125</v>
      </c>
      <c r="B117" s="408" t="s">
        <v>145</v>
      </c>
      <c r="C117" s="381">
        <v>0.77804957599478142</v>
      </c>
      <c r="D117" s="258">
        <f t="shared" si="1"/>
        <v>77.804957599478143</v>
      </c>
      <c r="E117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117" s="320">
        <v>70.845481049562693</v>
      </c>
      <c r="G117" s="383">
        <f>Tabela746[[#This Row],[Meta 2024 (N)]]*$E$6</f>
        <v>46.411365000000004</v>
      </c>
      <c r="H117" s="386">
        <v>71.402100000000004</v>
      </c>
      <c r="I117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117" s="258" t="b">
        <f>IF(E117="Excelência",
   IF(Tabela746[[#This Row],[TCC 2024 (N)]]&gt;=Tabela746[[#This Row],[TCC 2023(n)]],1,
      IF(Tabela746[[#This Row],[TCC 2024 (N)]]&gt;=C111,0.95,
         IF(AND(Tabela746[[#This Row],[TCC 2024 (N)]]&lt;Tabela746[[#This Row],[TCC 2024]], Tabela746[[#This Row],[TCC 2024 (N)]]&gt;E110),0.85,
            IF(AND(Tabela746[[#This Row],[TCC 2024 (N)]]&lt;E110, Tabela746[[#This Row],[TCC 2024 (N)]]&gt;=C110),0.8, FALSE)
         )
      )
   )
)</f>
        <v>0</v>
      </c>
      <c r="K117" s="258" t="str">
        <f>IF(E117="Intermediário", MAX(0, MIN(1, (Tabela746[[#This Row],[TCC 2024 (N)]]-Tabela746[[#This Row],[Linha de Base 2024 (N) ]])/(Tabela746[[#This Row],[Meta 2024 (N)]]-Tabela746[[#This Row],[Linha de Base 2024 (N) ]]))), "FALSO")</f>
        <v>FALSO</v>
      </c>
      <c r="L117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17" s="259">
        <f>SUM(Tabela746[[#This Row],[ICM Atribuído - Grupo 1]:[ICM Atribuído - Grupo 4]])</f>
        <v>1</v>
      </c>
      <c r="N117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17" s="258">
        <f>IF(Tabela746[[#This Row],[APLICANDO FORMULA GRUPO 3 - ENQUADRAMENTO]]&lt;0,0,Tabela746[[#This Row],[APLICANDO FORMULA GRUPO 3 - ENQUADRAMENTO]])</f>
        <v>1</v>
      </c>
    </row>
    <row r="118" spans="1:15">
      <c r="A118" s="385">
        <v>128</v>
      </c>
      <c r="B118" s="409" t="s">
        <v>118</v>
      </c>
      <c r="C118" s="381">
        <v>0.73035714285714293</v>
      </c>
      <c r="D118" s="258">
        <f t="shared" si="1"/>
        <v>73.035714285714292</v>
      </c>
      <c r="E118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18" s="320">
        <v>77.5</v>
      </c>
      <c r="G118" s="383">
        <f>Tabela746[[#This Row],[Meta 2024 (N)]]*$E$6</f>
        <v>51.335245</v>
      </c>
      <c r="H118" s="386">
        <v>78.9773</v>
      </c>
      <c r="I118" s="258" t="b">
        <f>IF(E118="Grupo 1",IF(AND(D118&gt;=$C$1,D118&lt;F118),0.75,IF(AND(D118&gt;=F118,D118&lt;H118),1,IF(D118&gt;=H118,1))))</f>
        <v>0</v>
      </c>
      <c r="J118" s="258">
        <f>IF(E118="Excelência",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0.85</v>
      </c>
      <c r="K118" s="258" t="str">
        <f>IF(E118="Intermediário", MAX(0, MIN(1, (Tabela746[[#This Row],[TCC 2024 (N)]]-Tabela746[[#This Row],[Linha de Base 2024 (N) ]])/(Tabela746[[#This Row],[Meta 2024 (N)]]-Tabela746[[#This Row],[Linha de Base 2024 (N) ]]))), "FALSO")</f>
        <v>FALSO</v>
      </c>
      <c r="L118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18" s="259">
        <f>SUM(Tabela746[[#This Row],[ICM Atribuído - Grupo 1]:[ICM Atribuído - Grupo 4]])</f>
        <v>0.85</v>
      </c>
      <c r="N118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0.85</v>
      </c>
      <c r="O118" s="258">
        <f>IF(Tabela746[[#This Row],[APLICANDO FORMULA GRUPO 3 - ENQUADRAMENTO]]&lt;0,0,Tabela746[[#This Row],[APLICANDO FORMULA GRUPO 3 - ENQUADRAMENTO]])</f>
        <v>0.85</v>
      </c>
    </row>
    <row r="119" spans="1:15">
      <c r="A119" s="380">
        <v>134</v>
      </c>
      <c r="B119" s="408" t="s">
        <v>62</v>
      </c>
      <c r="C119" s="381">
        <v>0.73918378995433787</v>
      </c>
      <c r="D119" s="258">
        <f t="shared" si="1"/>
        <v>73.918378995433784</v>
      </c>
      <c r="E119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19" s="320">
        <v>76.198630136986296</v>
      </c>
      <c r="G119" s="383">
        <f>Tabela746[[#This Row],[Meta 2024 (N)]]*$E$6</f>
        <v>49.574590000000008</v>
      </c>
      <c r="H119" s="386">
        <v>76.268600000000006</v>
      </c>
      <c r="I119" s="258" t="b">
        <f>IF(E119="Grupo 1",IF(AND(D119&gt;=$C$1,D119&lt;F119),0.75,IF(AND(D119&gt;=F119,D119&lt;H119),1,IF(D119&gt;=H119,1))))</f>
        <v>0</v>
      </c>
      <c r="J119" s="258">
        <f>IF(E119="Excelência",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0.9</v>
      </c>
      <c r="K119" s="258" t="str">
        <f>IF(E119="Intermediário", MAX(0, MIN(1, (Tabela746[[#This Row],[TCC 2024 (N)]]-Tabela746[[#This Row],[Linha de Base 2024 (N) ]])/(Tabela746[[#This Row],[Meta 2024 (N)]]-Tabela746[[#This Row],[Linha de Base 2024 (N) ]]))), "FALSO")</f>
        <v>FALSO</v>
      </c>
      <c r="L119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19" s="259">
        <f>SUM(Tabela746[[#This Row],[ICM Atribuído - Grupo 1]:[ICM Atribuído - Grupo 4]])</f>
        <v>0.9</v>
      </c>
      <c r="N119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0.9</v>
      </c>
      <c r="O119" s="258">
        <f>IF(Tabela746[[#This Row],[APLICANDO FORMULA GRUPO 3 - ENQUADRAMENTO]]&lt;0,0,Tabela746[[#This Row],[APLICANDO FORMULA GRUPO 3 - ENQUADRAMENTO]])</f>
        <v>0.9</v>
      </c>
    </row>
    <row r="120" spans="1:15">
      <c r="A120" s="385">
        <v>135</v>
      </c>
      <c r="B120" s="409" t="s">
        <v>208</v>
      </c>
      <c r="C120" s="381">
        <v>0.62088607594936707</v>
      </c>
      <c r="D120" s="258">
        <f t="shared" si="1"/>
        <v>62.088607594936704</v>
      </c>
      <c r="E120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20" s="320">
        <v>66.383701188455007</v>
      </c>
      <c r="G120" s="383">
        <f>Tabela746[[#This Row],[Meta 2024 (N)]]*$E$6</f>
        <v>43.363125000000004</v>
      </c>
      <c r="H120" s="386">
        <v>66.712500000000006</v>
      </c>
      <c r="I120" s="258" t="b">
        <f>IF(E120="Grupo 1",IF(AND(D120&gt;=$C$1,D120&lt;F120),0.75,IF(AND(D120&gt;=F120,D120&lt;H120),1,IF(D120&gt;=H120,1))))</f>
        <v>0</v>
      </c>
      <c r="J120" s="258" t="b">
        <f>IF(E120="Grupo 2",IF(J120&lt;=0,0,IF(AND(J120&gt;0,J120&lt;0.25),0.25,IF(AND(J120&gt;=0.25,J120&lt;0.5),0.5,IF(AND(J120&gt;=0.5,J120&lt;0.75),0.75,IF(AND(J120&gt;=0.75,J120&lt;1),1,1))))))</f>
        <v>0</v>
      </c>
      <c r="K120" s="258">
        <f>IF(E120="Intermediário", MAX(0, MIN(1, (Tabela746[[#This Row],[TCC 2024 (N)]]-Tabela746[[#This Row],[Linha de Base 2024 (N) ]])/(Tabela746[[#This Row],[Meta 2024 (N)]]-Tabela746[[#This Row],[Linha de Base 2024 (N) ]]))), "FALSO")</f>
        <v>0.80196932872664461</v>
      </c>
      <c r="L120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20" s="259">
        <f>SUM(Tabela746[[#This Row],[ICM Atribuído - Grupo 1]:[ICM Atribuído - Grupo 4]])</f>
        <v>0.80196932872664461</v>
      </c>
      <c r="N120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20" s="258">
        <f>IF(Tabela746[[#This Row],[APLICANDO FORMULA GRUPO 3 - ENQUADRAMENTO]]&lt;0,0,Tabela746[[#This Row],[APLICANDO FORMULA GRUPO 3 - ENQUADRAMENTO]])</f>
        <v>1</v>
      </c>
    </row>
    <row r="121" spans="1:15">
      <c r="A121" s="380">
        <v>136</v>
      </c>
      <c r="B121" s="408" t="s">
        <v>181</v>
      </c>
      <c r="C121" s="381">
        <v>0.68923611111111116</v>
      </c>
      <c r="D121" s="258">
        <f t="shared" si="1"/>
        <v>68.923611111111114</v>
      </c>
      <c r="E121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21" s="320">
        <v>69.587628865979383</v>
      </c>
      <c r="G121" s="383">
        <f>Tabela746[[#This Row],[Meta 2024 (N)]]*$E$6</f>
        <v>45.256315000000001</v>
      </c>
      <c r="H121" s="386">
        <v>69.625100000000003</v>
      </c>
      <c r="I121" s="258" t="b">
        <f>IF(E121="Grupo 1",IF(AND(D121&gt;=$C$1,D121&lt;F121),0.75,IF(AND(D121&gt;=F121,D121&lt;H121),1,IF(D121&gt;=H121,1))))</f>
        <v>0</v>
      </c>
      <c r="J121" s="258" t="b">
        <f>IF(E121="Grupo 2",IF(J121&lt;=0,0,IF(AND(J121&gt;0,J121&lt;0.25),0.25,IF(AND(J121&gt;=0.25,J121&lt;0.5),0.5,IF(AND(J121&gt;=0.5,J121&lt;0.75),0.75,IF(AND(J121&gt;=0.75,J121&lt;1),1,1))))))</f>
        <v>0</v>
      </c>
      <c r="K121" s="258">
        <f>IF(E121="Intermediário", MAX(0, MIN(1, (Tabela746[[#This Row],[TCC 2024 (N)]]-Tabela746[[#This Row],[Linha de Base 2024 (N) ]])/(Tabela746[[#This Row],[Meta 2024 (N)]]-Tabela746[[#This Row],[Linha de Base 2024 (N) ]]))), "FALSO")</f>
        <v>0.97121362887444374</v>
      </c>
      <c r="L121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21" s="259">
        <f>SUM(Tabela746[[#This Row],[ICM Atribuído - Grupo 1]:[ICM Atribuído - Grupo 4]])</f>
        <v>0.97121362887444374</v>
      </c>
      <c r="N121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21" s="258">
        <f>IF(Tabela746[[#This Row],[APLICANDO FORMULA GRUPO 3 - ENQUADRAMENTO]]&lt;0,0,Tabela746[[#This Row],[APLICANDO FORMULA GRUPO 3 - ENQUADRAMENTO]])</f>
        <v>1</v>
      </c>
    </row>
    <row r="122" spans="1:15">
      <c r="A122" s="385">
        <v>138</v>
      </c>
      <c r="B122" s="409" t="s">
        <v>20</v>
      </c>
      <c r="C122" s="381">
        <v>0.80156249999999996</v>
      </c>
      <c r="D122" s="258">
        <f t="shared" si="1"/>
        <v>80.15625</v>
      </c>
      <c r="E122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122" s="320">
        <v>77.962577962577967</v>
      </c>
      <c r="G122" s="383">
        <f>Tabela746[[#This Row],[Meta 2024 (N)]]*$E$6</f>
        <v>51.608570000000007</v>
      </c>
      <c r="H122" s="386">
        <v>79.397800000000004</v>
      </c>
      <c r="I122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122" s="258" t="b">
        <f>IF(E122="Excelência",
   IF(Tabela746[[#This Row],[TCC 2024 (N)]]&gt;=Tabela746[[#This Row],[TCC 2023(n)]],1,
      IF(Tabela746[[#This Row],[TCC 2024 (N)]]&gt;=C116,0.95,
         IF(AND(Tabela746[[#This Row],[TCC 2024 (N)]]&lt;Tabela746[[#This Row],[TCC 2024]], Tabela746[[#This Row],[TCC 2024 (N)]]&gt;E115),0.85,
            IF(AND(Tabela746[[#This Row],[TCC 2024 (N)]]&lt;E115, Tabela746[[#This Row],[TCC 2024 (N)]]&gt;=C115),0.8, FALSE)
         )
      )
   )
)</f>
        <v>0</v>
      </c>
      <c r="K122" s="258" t="str">
        <f>IF(E122="Intermediário", MAX(0, MIN(1, (Tabela746[[#This Row],[TCC 2024 (N)]]-Tabela746[[#This Row],[Linha de Base 2024 (N) ]])/(Tabela746[[#This Row],[Meta 2024 (N)]]-Tabela746[[#This Row],[Linha de Base 2024 (N) ]]))), "FALSO")</f>
        <v>FALSO</v>
      </c>
      <c r="L122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22" s="259">
        <f>SUM(Tabela746[[#This Row],[ICM Atribuído - Grupo 1]:[ICM Atribuído - Grupo 4]])</f>
        <v>1</v>
      </c>
      <c r="N122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22" s="258">
        <f>IF(Tabela746[[#This Row],[APLICANDO FORMULA GRUPO 3 - ENQUADRAMENTO]]&lt;0,0,Tabela746[[#This Row],[APLICANDO FORMULA GRUPO 3 - ENQUADRAMENTO]])</f>
        <v>1</v>
      </c>
    </row>
    <row r="123" spans="1:15">
      <c r="A123" s="380">
        <v>139</v>
      </c>
      <c r="B123" s="408" t="s">
        <v>196</v>
      </c>
      <c r="C123" s="381">
        <v>0.66070381231671549</v>
      </c>
      <c r="D123" s="258">
        <f t="shared" si="1"/>
        <v>66.070381231671547</v>
      </c>
      <c r="E123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23" s="320">
        <v>62.208067940552013</v>
      </c>
      <c r="G123" s="383">
        <f>Tabela746[[#This Row],[Meta 2024 (N)]]*$E$6</f>
        <v>40.895660000000007</v>
      </c>
      <c r="H123" s="386">
        <v>62.916400000000003</v>
      </c>
      <c r="I123" s="258" t="b">
        <f>IF(E123="Grupo 1",IF(AND(D123&gt;=$C$1,D123&lt;F123),0.75,IF(AND(D123&gt;=F123,D123&lt;H123),1,IF(D123&gt;=H123,1))))</f>
        <v>0</v>
      </c>
      <c r="J123" s="258" t="b">
        <f>IF(E123="Grupo 2",IF(J123&lt;=0,0,IF(AND(J123&gt;0,J123&lt;0.25),0.25,IF(AND(J123&gt;=0.25,J123&lt;0.5),0.5,IF(AND(J123&gt;=0.5,J123&lt;0.75),0.75,IF(AND(J123&gt;=0.75,J123&lt;1),1,1))))))</f>
        <v>0</v>
      </c>
      <c r="K123" s="258">
        <f>IF(E123="Intermediário", MAX(0, MIN(1, (Tabela746[[#This Row],[TCC 2024 (N)]]-Tabela746[[#This Row],[Linha de Base 2024 (N) ]])/(Tabela746[[#This Row],[Meta 2024 (N)]]-Tabela746[[#This Row],[Linha de Base 2024 (N) ]]))), "FALSO")</f>
        <v>1</v>
      </c>
      <c r="L123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23" s="259">
        <f>SUM(Tabela746[[#This Row],[ICM Atribuído - Grupo 1]:[ICM Atribuído - Grupo 4]])</f>
        <v>1</v>
      </c>
      <c r="N123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23" s="258">
        <f>IF(Tabela746[[#This Row],[APLICANDO FORMULA GRUPO 3 - ENQUADRAMENTO]]&lt;0,0,Tabela746[[#This Row],[APLICANDO FORMULA GRUPO 3 - ENQUADRAMENTO]])</f>
        <v>1</v>
      </c>
    </row>
    <row r="124" spans="1:15">
      <c r="A124" s="385">
        <v>140</v>
      </c>
      <c r="B124" s="409" t="s">
        <v>172</v>
      </c>
      <c r="C124" s="381">
        <v>0.70820552147239257</v>
      </c>
      <c r="D124" s="258">
        <f t="shared" si="1"/>
        <v>70.820552147239255</v>
      </c>
      <c r="E124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24" s="320">
        <v>75.609756097560975</v>
      </c>
      <c r="G124" s="383">
        <f>Tabela746[[#This Row],[Meta 2024 (N)]]*$E$6</f>
        <v>49.226645000000005</v>
      </c>
      <c r="H124" s="386">
        <v>75.7333</v>
      </c>
      <c r="I124" s="258" t="b">
        <f>IF(E124="Grupo 1",IF(AND(D124&gt;=$C$1,D124&lt;F124),0.75,IF(AND(D124&gt;=F124,D124&lt;H124),1,IF(D124&gt;=H124,1))))</f>
        <v>0</v>
      </c>
      <c r="J124" s="258">
        <f>IF(E124="Excelência",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0.7</v>
      </c>
      <c r="K124" s="258" t="str">
        <f>IF(E124="Intermediário", MAX(0, MIN(1, (Tabela746[[#This Row],[TCC 2024 (N)]]-Tabela746[[#This Row],[Linha de Base 2024 (N) ]])/(Tabela746[[#This Row],[Meta 2024 (N)]]-Tabela746[[#This Row],[Linha de Base 2024 (N) ]]))), "FALSO")</f>
        <v>FALSO</v>
      </c>
      <c r="L124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24" s="259">
        <f>SUM(Tabela746[[#This Row],[ICM Atribuído - Grupo 1]:[ICM Atribuído - Grupo 4]])</f>
        <v>0.7</v>
      </c>
      <c r="N124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0.7</v>
      </c>
      <c r="O124" s="258">
        <f>IF(Tabela746[[#This Row],[APLICANDO FORMULA GRUPO 3 - ENQUADRAMENTO]]&lt;0,0,Tabela746[[#This Row],[APLICANDO FORMULA GRUPO 3 - ENQUADRAMENTO]])</f>
        <v>0.7</v>
      </c>
    </row>
    <row r="125" spans="1:15">
      <c r="A125" s="380">
        <v>141</v>
      </c>
      <c r="B125" s="408" t="s">
        <v>33</v>
      </c>
      <c r="C125" s="381">
        <v>0.75672413793103455</v>
      </c>
      <c r="D125" s="258">
        <f t="shared" si="1"/>
        <v>75.672413793103459</v>
      </c>
      <c r="E125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25" s="320">
        <v>78.543307086614178</v>
      </c>
      <c r="G125" s="383">
        <f>Tabela746[[#This Row],[Meta 2024 (N)]]*$E$6</f>
        <v>51.951705000000004</v>
      </c>
      <c r="H125" s="386">
        <v>79.925700000000006</v>
      </c>
      <c r="I125" s="258" t="b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0</v>
      </c>
      <c r="J125" s="258">
        <f>IF(E125="Excelência",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0.9</v>
      </c>
      <c r="K125" s="258" t="str">
        <f>IF(E125="Intermediário", MAX(0, MIN(1, (Tabela746[[#This Row],[TCC 2024 (N)]]-Tabela746[[#This Row],[Linha de Base 2024 (N) ]])/(Tabela746[[#This Row],[Meta 2024 (N)]]-Tabela746[[#This Row],[Linha de Base 2024 (N) ]]))), "FALSO")</f>
        <v>FALSO</v>
      </c>
      <c r="L125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25" s="259">
        <f>SUM(Tabela746[[#This Row],[ICM Atribuído - Grupo 1]:[ICM Atribuído - Grupo 4]])</f>
        <v>0.9</v>
      </c>
      <c r="N125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0.9</v>
      </c>
      <c r="O125" s="258">
        <f>IF(Tabela746[[#This Row],[APLICANDO FORMULA GRUPO 3 - ENQUADRAMENTO]]&lt;0,0,Tabela746[[#This Row],[APLICANDO FORMULA GRUPO 3 - ENQUADRAMENTO]])</f>
        <v>0.9</v>
      </c>
    </row>
    <row r="126" spans="1:15">
      <c r="A126" s="385">
        <v>142</v>
      </c>
      <c r="B126" s="409" t="s">
        <v>105</v>
      </c>
      <c r="C126" s="381">
        <v>0.74395569620253166</v>
      </c>
      <c r="D126" s="258">
        <f t="shared" si="1"/>
        <v>74.39556962025317</v>
      </c>
      <c r="E126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26" s="320">
        <v>79.082568807339442</v>
      </c>
      <c r="G126" s="383">
        <f>Tabela746[[#This Row],[Meta 2024 (N)]]*$E$6</f>
        <v>52.270400000000002</v>
      </c>
      <c r="H126" s="386">
        <v>80.415999999999997</v>
      </c>
      <c r="I126" s="258" t="b">
        <f t="shared" ref="I126:I131" si="4">IF(E126="Grupo 1",IF(AND(D126&gt;=$C$1,D126&lt;F126),0.75,IF(AND(D126&gt;=F126,D126&lt;H126),1,IF(D126&gt;=H126,1))))</f>
        <v>0</v>
      </c>
      <c r="J126" s="258">
        <f>IF(E126="Excelência",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0.9</v>
      </c>
      <c r="K126" s="258" t="str">
        <f>IF(E126="Intermediário", MAX(0, MIN(1, (Tabela746[[#This Row],[TCC 2024 (N)]]-Tabela746[[#This Row],[Linha de Base 2024 (N) ]])/(Tabela746[[#This Row],[Meta 2024 (N)]]-Tabela746[[#This Row],[Linha de Base 2024 (N) ]]))), "FALSO")</f>
        <v>FALSO</v>
      </c>
      <c r="L126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26" s="259">
        <f>SUM(Tabela746[[#This Row],[ICM Atribuído - Grupo 1]:[ICM Atribuído - Grupo 4]])</f>
        <v>0.9</v>
      </c>
      <c r="N126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0.9</v>
      </c>
      <c r="O126" s="258">
        <f>IF(Tabela746[[#This Row],[APLICANDO FORMULA GRUPO 3 - ENQUADRAMENTO]]&lt;0,0,Tabela746[[#This Row],[APLICANDO FORMULA GRUPO 3 - ENQUADRAMENTO]])</f>
        <v>0.9</v>
      </c>
    </row>
    <row r="127" spans="1:15">
      <c r="A127" s="380">
        <v>144</v>
      </c>
      <c r="B127" s="408" t="s">
        <v>114</v>
      </c>
      <c r="C127" s="381">
        <v>0.66818225099980955</v>
      </c>
      <c r="D127" s="258">
        <f t="shared" si="1"/>
        <v>66.81822509998095</v>
      </c>
      <c r="E127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27" s="320">
        <v>68.439716312056746</v>
      </c>
      <c r="G127" s="383">
        <f>Tabela746[[#This Row],[Meta 2024 (N)]]*$E$6</f>
        <v>44.578040000000001</v>
      </c>
      <c r="H127" s="386">
        <v>68.581599999999995</v>
      </c>
      <c r="I127" s="258" t="b">
        <f t="shared" si="4"/>
        <v>0</v>
      </c>
      <c r="J127" s="258" t="b">
        <f>IF(E127="Grupo 2",IF(J127&lt;=0,0,IF(AND(J127&gt;0,J127&lt;0.25),0.25,IF(AND(J127&gt;=0.25,J127&lt;0.5),0.5,IF(AND(J127&gt;=0.5,J127&lt;0.75),0.75,IF(AND(J127&gt;=0.75,J127&lt;1),1,1))))))</f>
        <v>0</v>
      </c>
      <c r="K127" s="258">
        <f>IF(E127="Intermediário", MAX(0, MIN(1, (Tabela746[[#This Row],[TCC 2024 (N)]]-Tabela746[[#This Row],[Linha de Base 2024 (N) ]])/(Tabela746[[#This Row],[Meta 2024 (N)]]-Tabela746[[#This Row],[Linha de Base 2024 (N) ]]))), "FALSO")</f>
        <v>0.92653694285268329</v>
      </c>
      <c r="L127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27" s="259">
        <f>SUM(Tabela746[[#This Row],[ICM Atribuído - Grupo 1]:[ICM Atribuído - Grupo 4]])</f>
        <v>0.92653694285268329</v>
      </c>
      <c r="N127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27" s="258">
        <f>IF(Tabela746[[#This Row],[APLICANDO FORMULA GRUPO 3 - ENQUADRAMENTO]]&lt;0,0,Tabela746[[#This Row],[APLICANDO FORMULA GRUPO 3 - ENQUADRAMENTO]])</f>
        <v>1</v>
      </c>
    </row>
    <row r="128" spans="1:15">
      <c r="A128" s="385">
        <v>145</v>
      </c>
      <c r="B128" s="409" t="s">
        <v>139</v>
      </c>
      <c r="C128" s="381">
        <v>0.68323742540494459</v>
      </c>
      <c r="D128" s="258">
        <f t="shared" si="1"/>
        <v>68.323742540494464</v>
      </c>
      <c r="E128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28" s="320">
        <v>64</v>
      </c>
      <c r="G128" s="383">
        <f>Tabela746[[#This Row],[Meta 2024 (N)]]*$E$6</f>
        <v>41.954575000000006</v>
      </c>
      <c r="H128" s="386">
        <v>64.545500000000004</v>
      </c>
      <c r="I128" s="258" t="b">
        <f t="shared" si="4"/>
        <v>0</v>
      </c>
      <c r="J128" s="258" t="b">
        <f>IF(E128="Grupo 2",IF(J128&lt;=0,0,IF(AND(J128&gt;0,J128&lt;0.25),0.25,IF(AND(J128&gt;=0.25,J128&lt;0.5),0.5,IF(AND(J128&gt;=0.5,J128&lt;0.75),0.75,IF(AND(J128&gt;=0.75,J128&lt;1),1,1))))))</f>
        <v>0</v>
      </c>
      <c r="K128" s="258">
        <f>IF(E128="Intermediário", MAX(0, MIN(1, (Tabela746[[#This Row],[TCC 2024 (N)]]-Tabela746[[#This Row],[Linha de Base 2024 (N) ]])/(Tabela746[[#This Row],[Meta 2024 (N)]]-Tabela746[[#This Row],[Linha de Base 2024 (N) ]]))), "FALSO")</f>
        <v>1</v>
      </c>
      <c r="L128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28" s="259">
        <f>SUM(Tabela746[[#This Row],[ICM Atribuído - Grupo 1]:[ICM Atribuído - Grupo 4]])</f>
        <v>1</v>
      </c>
      <c r="N128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28" s="258">
        <f>IF(Tabela746[[#This Row],[APLICANDO FORMULA GRUPO 3 - ENQUADRAMENTO]]&lt;0,0,Tabela746[[#This Row],[APLICANDO FORMULA GRUPO 3 - ENQUADRAMENTO]])</f>
        <v>1</v>
      </c>
    </row>
    <row r="129" spans="1:15">
      <c r="A129" s="380">
        <v>147</v>
      </c>
      <c r="B129" s="408" t="s">
        <v>42</v>
      </c>
      <c r="C129" s="381">
        <v>0.74820261437908497</v>
      </c>
      <c r="D129" s="258">
        <f t="shared" si="1"/>
        <v>74.820261437908499</v>
      </c>
      <c r="E129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29" s="320">
        <v>79.120879120879124</v>
      </c>
      <c r="G129" s="383">
        <f>Tabela746[[#This Row],[Meta 2024 (N)]]*$E$6</f>
        <v>52.293020000000006</v>
      </c>
      <c r="H129" s="386">
        <v>80.450800000000001</v>
      </c>
      <c r="I129" s="258" t="b">
        <f t="shared" si="4"/>
        <v>0</v>
      </c>
      <c r="J129" s="258">
        <f>IF(E129="Excelência",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0.9</v>
      </c>
      <c r="K129" s="258" t="str">
        <f>IF(E129="Intermediário", MAX(0, MIN(1, (Tabela746[[#This Row],[TCC 2024 (N)]]-Tabela746[[#This Row],[Linha de Base 2024 (N) ]])/(Tabela746[[#This Row],[Meta 2024 (N)]]-Tabela746[[#This Row],[Linha de Base 2024 (N) ]]))), "FALSO")</f>
        <v>FALSO</v>
      </c>
      <c r="L129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29" s="259">
        <f>SUM(Tabela746[[#This Row],[ICM Atribuído - Grupo 1]:[ICM Atribuído - Grupo 4]])</f>
        <v>0.9</v>
      </c>
      <c r="N129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0.9</v>
      </c>
      <c r="O129" s="258">
        <f>IF(Tabela746[[#This Row],[APLICANDO FORMULA GRUPO 3 - ENQUADRAMENTO]]&lt;0,0,Tabela746[[#This Row],[APLICANDO FORMULA GRUPO 3 - ENQUADRAMENTO]])</f>
        <v>0.9</v>
      </c>
    </row>
    <row r="130" spans="1:15">
      <c r="A130" s="385">
        <v>148</v>
      </c>
      <c r="B130" s="409" t="s">
        <v>131</v>
      </c>
      <c r="C130" s="381">
        <v>0.6641612222745612</v>
      </c>
      <c r="D130" s="258">
        <f t="shared" si="1"/>
        <v>66.416122227456114</v>
      </c>
      <c r="E130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30" s="320">
        <v>73.71794871794873</v>
      </c>
      <c r="G130" s="383">
        <f>Tabela746[[#This Row],[Meta 2024 (N)]]*$E$6</f>
        <v>48.108774999999994</v>
      </c>
      <c r="H130" s="386">
        <v>74.013499999999993</v>
      </c>
      <c r="I130" s="258" t="b">
        <f t="shared" si="4"/>
        <v>0</v>
      </c>
      <c r="J130" s="258" t="b">
        <f>IF(E130="Grupo 2",IF(J130&lt;=0,0,IF(AND(J130&gt;0,J130&lt;0.25),0.25,IF(AND(J130&gt;=0.25,J130&lt;0.5),0.5,IF(AND(J130&gt;=0.5,J130&lt;0.75),0.75,IF(AND(J130&gt;=0.75,J130&lt;1),1,1))))))</f>
        <v>0</v>
      </c>
      <c r="K130" s="258">
        <f>IF(E130="Intermediário", MAX(0, MIN(1, (Tabela746[[#This Row],[TCC 2024 (N)]]-Tabela746[[#This Row],[Linha de Base 2024 (N) ]])/(Tabela746[[#This Row],[Meta 2024 (N)]]-Tabela746[[#This Row],[Linha de Base 2024 (N) ]]))), "FALSO")</f>
        <v>0.70671845493268581</v>
      </c>
      <c r="L130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30" s="259">
        <f>SUM(Tabela746[[#This Row],[ICM Atribuído - Grupo 1]:[ICM Atribuído - Grupo 4]])</f>
        <v>0.70671845493268581</v>
      </c>
      <c r="N130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0.75</v>
      </c>
      <c r="O130" s="258">
        <f>IF(Tabela746[[#This Row],[APLICANDO FORMULA GRUPO 3 - ENQUADRAMENTO]]&lt;0,0,Tabela746[[#This Row],[APLICANDO FORMULA GRUPO 3 - ENQUADRAMENTO]])</f>
        <v>0.75</v>
      </c>
    </row>
    <row r="131" spans="1:15">
      <c r="A131" s="380">
        <v>149</v>
      </c>
      <c r="B131" s="408" t="s">
        <v>28</v>
      </c>
      <c r="C131" s="381">
        <v>0.69501133786848068</v>
      </c>
      <c r="D131" s="258">
        <f t="shared" si="1"/>
        <v>69.501133786848072</v>
      </c>
      <c r="E131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31" s="320">
        <v>74.054982817869416</v>
      </c>
      <c r="G131" s="383">
        <f>Tabela746[[#This Row],[Meta 2024 (N)]]*$E$6</f>
        <v>48.307870000000001</v>
      </c>
      <c r="H131" s="386">
        <v>74.319800000000001</v>
      </c>
      <c r="I131" s="258" t="b">
        <f t="shared" si="4"/>
        <v>0</v>
      </c>
      <c r="J131" s="258" t="b">
        <f>IF(E131="Grupo 2",IF(J131&lt;=0,0,IF(AND(J131&gt;0,J131&lt;0.25),0.25,IF(AND(J131&gt;=0.25,J131&lt;0.5),0.5,IF(AND(J131&gt;=0.5,J131&lt;0.75),0.75,IF(AND(J131&gt;=0.75,J131&lt;1),1,1))))))</f>
        <v>0</v>
      </c>
      <c r="K131" s="258">
        <f>IF(E131="Intermediário", MAX(0, MIN(1, (Tabela746[[#This Row],[TCC 2024 (N)]]-Tabela746[[#This Row],[Linha de Base 2024 (N) ]])/(Tabela746[[#This Row],[Meta 2024 (N)]]-Tabela746[[#This Row],[Linha de Base 2024 (N) ]]))), "FALSO")</f>
        <v>0.8147516845865751</v>
      </c>
      <c r="L131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31" s="259">
        <f>SUM(Tabela746[[#This Row],[ICM Atribuído - Grupo 1]:[ICM Atribuído - Grupo 4]])</f>
        <v>0.8147516845865751</v>
      </c>
      <c r="N131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31" s="258">
        <f>IF(Tabela746[[#This Row],[APLICANDO FORMULA GRUPO 3 - ENQUADRAMENTO]]&lt;0,0,Tabela746[[#This Row],[APLICANDO FORMULA GRUPO 3 - ENQUADRAMENTO]])</f>
        <v>1</v>
      </c>
    </row>
    <row r="132" spans="1:15">
      <c r="A132" s="385">
        <v>150</v>
      </c>
      <c r="B132" s="409" t="s">
        <v>70</v>
      </c>
      <c r="C132" s="381">
        <v>0.87002118644067794</v>
      </c>
      <c r="D132" s="258">
        <f t="shared" si="1"/>
        <v>87.002118644067792</v>
      </c>
      <c r="E132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132" s="320">
        <v>83.486238532110093</v>
      </c>
      <c r="G132" s="383">
        <f>Tabela746[[#This Row],[Meta 2024 (N)]]*$E$6</f>
        <v>54.872545000000009</v>
      </c>
      <c r="H132" s="386">
        <v>84.419300000000007</v>
      </c>
      <c r="I132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132" s="258" t="b">
        <f>IF(E132="Grupo 2",IF(J132&lt;=0,0,IF(AND(J132&gt;0,J132&lt;0.25),0.25,IF(AND(J132&gt;=0.25,J132&lt;0.5),0.5,IF(AND(J132&gt;=0.5,J132&lt;0.75),0.75,IF(AND(J132&gt;=0.75,J132&lt;1),1,1))))))</f>
        <v>0</v>
      </c>
      <c r="K132" s="258" t="str">
        <f>IF(E132="Intermediário", MAX(0, MIN(1, (Tabela746[[#This Row],[TCC 2024 (N)]]-Tabela746[[#This Row],[Linha de Base 2024 (N) ]])/(Tabela746[[#This Row],[Meta 2024 (N)]]-Tabela746[[#This Row],[Linha de Base 2024 (N) ]]))), "FALSO")</f>
        <v>FALSO</v>
      </c>
      <c r="L132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32" s="259">
        <f>SUM(Tabela746[[#This Row],[ICM Atribuído - Grupo 1]:[ICM Atribuído - Grupo 4]])</f>
        <v>1</v>
      </c>
      <c r="N132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32" s="258">
        <f>IF(Tabela746[[#This Row],[APLICANDO FORMULA GRUPO 3 - ENQUADRAMENTO]]&lt;0,0,Tabela746[[#This Row],[APLICANDO FORMULA GRUPO 3 - ENQUADRAMENTO]])</f>
        <v>1</v>
      </c>
    </row>
    <row r="133" spans="1:15">
      <c r="A133" s="380">
        <v>151</v>
      </c>
      <c r="B133" s="408" t="s">
        <v>168</v>
      </c>
      <c r="C133" s="381">
        <v>0.6443809148264984</v>
      </c>
      <c r="D133" s="258">
        <f t="shared" si="1"/>
        <v>64.438091482649838</v>
      </c>
      <c r="E133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33" s="320">
        <v>65.952890792291214</v>
      </c>
      <c r="G133" s="383">
        <f>Tabela746[[#This Row],[Meta 2024 (N)]]*$E$6</f>
        <v>43.108520000000006</v>
      </c>
      <c r="H133" s="386">
        <v>66.320800000000006</v>
      </c>
      <c r="I133" s="258" t="b">
        <f t="shared" ref="I133:I141" si="5">IF(E133="Grupo 1",IF(AND(D133&gt;=$C$1,D133&lt;F133),0.75,IF(AND(D133&gt;=F133,D133&lt;H133),1,IF(D133&gt;=H133,1))))</f>
        <v>0</v>
      </c>
      <c r="J133" s="258" t="b">
        <f>IF(E133="Grupo 2",IF(J133&lt;=0,0,IF(AND(J133&gt;0,J133&lt;0.25),0.25,IF(AND(J133&gt;=0.25,J133&lt;0.5),0.5,IF(AND(J133&gt;=0.5,J133&lt;0.75),0.75,IF(AND(J133&gt;=0.75,J133&lt;1),1,1))))))</f>
        <v>0</v>
      </c>
      <c r="K133" s="258">
        <f>IF(E133="Intermediário", MAX(0, MIN(1, (Tabela746[[#This Row],[TCC 2024 (N)]]-Tabela746[[#This Row],[Linha de Base 2024 (N) ]])/(Tabela746[[#This Row],[Meta 2024 (N)]]-Tabela746[[#This Row],[Linha de Base 2024 (N) ]]))), "FALSO")</f>
        <v>0.91889170226491468</v>
      </c>
      <c r="L133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33" s="259">
        <f>SUM(Tabela746[[#This Row],[ICM Atribuído - Grupo 1]:[ICM Atribuído - Grupo 4]])</f>
        <v>0.91889170226491468</v>
      </c>
      <c r="N133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33" s="258">
        <f>IF(Tabela746[[#This Row],[APLICANDO FORMULA GRUPO 3 - ENQUADRAMENTO]]&lt;0,0,Tabela746[[#This Row],[APLICANDO FORMULA GRUPO 3 - ENQUADRAMENTO]])</f>
        <v>1</v>
      </c>
    </row>
    <row r="134" spans="1:15">
      <c r="A134" s="385">
        <v>152</v>
      </c>
      <c r="B134" s="409" t="s">
        <v>24</v>
      </c>
      <c r="C134" s="381">
        <v>0.74642857142857144</v>
      </c>
      <c r="D134" s="258">
        <f t="shared" si="1"/>
        <v>74.642857142857139</v>
      </c>
      <c r="E134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34" s="320">
        <v>76.25570776255708</v>
      </c>
      <c r="G134" s="383">
        <f>Tabela746[[#This Row],[Meta 2024 (N)]]*$E$6</f>
        <v>49.608325000000001</v>
      </c>
      <c r="H134" s="386">
        <v>76.320499999999996</v>
      </c>
      <c r="I134" s="258" t="b">
        <f t="shared" si="5"/>
        <v>0</v>
      </c>
      <c r="J134" s="258">
        <f>IF(E134="Excelência",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0.9</v>
      </c>
      <c r="K134" s="258" t="str">
        <f>IF(E134="Intermediário", MAX(0, MIN(1, (Tabela746[[#This Row],[TCC 2024 (N)]]-Tabela746[[#This Row],[Linha de Base 2024 (N) ]])/(Tabela746[[#This Row],[Meta 2024 (N)]]-Tabela746[[#This Row],[Linha de Base 2024 (N) ]]))), "FALSO")</f>
        <v>FALSO</v>
      </c>
      <c r="L134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34" s="259">
        <f>SUM(Tabela746[[#This Row],[ICM Atribuído - Grupo 1]:[ICM Atribuído - Grupo 4]])</f>
        <v>0.9</v>
      </c>
      <c r="N134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0.9</v>
      </c>
      <c r="O134" s="258">
        <f>IF(Tabela746[[#This Row],[APLICANDO FORMULA GRUPO 3 - ENQUADRAMENTO]]&lt;0,0,Tabela746[[#This Row],[APLICANDO FORMULA GRUPO 3 - ENQUADRAMENTO]])</f>
        <v>0.9</v>
      </c>
    </row>
    <row r="135" spans="1:15">
      <c r="A135" s="380">
        <v>153</v>
      </c>
      <c r="B135" s="408" t="s">
        <v>189</v>
      </c>
      <c r="C135" s="381">
        <v>0.69988826815642458</v>
      </c>
      <c r="D135" s="258">
        <f t="shared" si="1"/>
        <v>69.988826815642454</v>
      </c>
      <c r="E135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35" s="320">
        <v>65.292841648590013</v>
      </c>
      <c r="G135" s="383">
        <f>Tabela746[[#This Row],[Meta 2024 (N)]]*$E$6</f>
        <v>42.718519999999998</v>
      </c>
      <c r="H135" s="386">
        <v>65.720799999999997</v>
      </c>
      <c r="I135" s="258" t="b">
        <f t="shared" si="5"/>
        <v>0</v>
      </c>
      <c r="J135" s="258" t="b">
        <f>IF(E135="Grupo 2",IF(J135&lt;=0,0,IF(AND(J135&gt;0,J135&lt;0.25),0.25,IF(AND(J135&gt;=0.25,J135&lt;0.5),0.5,IF(AND(J135&gt;=0.5,J135&lt;0.75),0.75,IF(AND(J135&gt;=0.75,J135&lt;1),1,1))))))</f>
        <v>0</v>
      </c>
      <c r="K135" s="258">
        <f>IF(E135="Intermediário", MAX(0, MIN(1, (Tabela746[[#This Row],[TCC 2024 (N)]]-Tabela746[[#This Row],[Linha de Base 2024 (N) ]])/(Tabela746[[#This Row],[Meta 2024 (N)]]-Tabela746[[#This Row],[Linha de Base 2024 (N) ]]))), "FALSO")</f>
        <v>1</v>
      </c>
      <c r="L135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35" s="259">
        <f>SUM(Tabela746[[#This Row],[ICM Atribuído - Grupo 1]:[ICM Atribuído - Grupo 4]])</f>
        <v>1</v>
      </c>
      <c r="N135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35" s="258">
        <f>IF(Tabela746[[#This Row],[APLICANDO FORMULA GRUPO 3 - ENQUADRAMENTO]]&lt;0,0,Tabela746[[#This Row],[APLICANDO FORMULA GRUPO 3 - ENQUADRAMENTO]])</f>
        <v>1</v>
      </c>
    </row>
    <row r="136" spans="1:15">
      <c r="A136" s="385">
        <v>154</v>
      </c>
      <c r="B136" s="409" t="s">
        <v>178</v>
      </c>
      <c r="C136" s="381">
        <v>0.69001610305958128</v>
      </c>
      <c r="D136" s="258">
        <f t="shared" si="1"/>
        <v>69.001610305958124</v>
      </c>
      <c r="E136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36" s="320">
        <v>69.669669669669659</v>
      </c>
      <c r="G136" s="383">
        <f>Tabela746[[#This Row],[Meta 2024 (N)]]*$E$6</f>
        <v>45.304805000000009</v>
      </c>
      <c r="H136" s="386">
        <v>69.699700000000007</v>
      </c>
      <c r="I136" s="258" t="b">
        <f t="shared" si="5"/>
        <v>0</v>
      </c>
      <c r="J136" s="258" t="b">
        <f>IF(E136="Grupo 2",IF(J136&lt;=0,0,IF(AND(J136&gt;0,J136&lt;0.25),0.25,IF(AND(J136&gt;=0.25,J136&lt;0.5),0.5,IF(AND(J136&gt;=0.5,J136&lt;0.75),0.75,IF(AND(J136&gt;=0.75,J136&lt;1),1,1))))))</f>
        <v>0</v>
      </c>
      <c r="K136" s="258">
        <f>IF(E136="Intermediário", MAX(0, MIN(1, (Tabela746[[#This Row],[TCC 2024 (N)]]-Tabela746[[#This Row],[Linha de Base 2024 (N) ]])/(Tabela746[[#This Row],[Meta 2024 (N)]]-Tabela746[[#This Row],[Linha de Base 2024 (N) ]]))), "FALSO")</f>
        <v>0.97138377951444832</v>
      </c>
      <c r="L136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36" s="259">
        <f>SUM(Tabela746[[#This Row],[ICM Atribuído - Grupo 1]:[ICM Atribuído - Grupo 4]])</f>
        <v>0.97138377951444832</v>
      </c>
      <c r="N136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36" s="258">
        <f>IF(Tabela746[[#This Row],[APLICANDO FORMULA GRUPO 3 - ENQUADRAMENTO]]&lt;0,0,Tabela746[[#This Row],[APLICANDO FORMULA GRUPO 3 - ENQUADRAMENTO]])</f>
        <v>1</v>
      </c>
    </row>
    <row r="137" spans="1:15">
      <c r="A137" s="380">
        <v>156</v>
      </c>
      <c r="B137" s="408" t="s">
        <v>9</v>
      </c>
      <c r="C137" s="381">
        <v>0.7071295557329077</v>
      </c>
      <c r="D137" s="258">
        <f t="shared" si="1"/>
        <v>70.71295557329077</v>
      </c>
      <c r="E137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37" s="320">
        <v>85.057471264367805</v>
      </c>
      <c r="G137" s="383">
        <f>Tabela746[[#This Row],[Meta 2024 (N)]]*$E$6</f>
        <v>55.801005000000004</v>
      </c>
      <c r="H137" s="386">
        <v>85.847700000000003</v>
      </c>
      <c r="I137" s="258" t="b">
        <f t="shared" si="5"/>
        <v>0</v>
      </c>
      <c r="J137" s="258">
        <f>IF(E137="Excelência",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0.7</v>
      </c>
      <c r="K137" s="258" t="str">
        <f>IF(E137="Intermediário", MAX(0, MIN(1, (Tabela746[[#This Row],[TCC 2024 (N)]]-Tabela746[[#This Row],[Linha de Base 2024 (N) ]])/(Tabela746[[#This Row],[Meta 2024 (N)]]-Tabela746[[#This Row],[Linha de Base 2024 (N) ]]))), "FALSO")</f>
        <v>FALSO</v>
      </c>
      <c r="L137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37" s="259">
        <f>SUM(Tabela746[[#This Row],[ICM Atribuído - Grupo 1]:[ICM Atribuído - Grupo 4]])</f>
        <v>0.7</v>
      </c>
      <c r="N137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0.7</v>
      </c>
      <c r="O137" s="258">
        <f>IF(Tabela746[[#This Row],[APLICANDO FORMULA GRUPO 3 - ENQUADRAMENTO]]&lt;0,0,Tabela746[[#This Row],[APLICANDO FORMULA GRUPO 3 - ENQUADRAMENTO]])</f>
        <v>0.7</v>
      </c>
    </row>
    <row r="138" spans="1:15">
      <c r="A138" s="385">
        <v>158</v>
      </c>
      <c r="B138" s="409" t="s">
        <v>74</v>
      </c>
      <c r="C138" s="381">
        <v>0.62291666666666667</v>
      </c>
      <c r="D138" s="258">
        <f t="shared" si="1"/>
        <v>62.291666666666664</v>
      </c>
      <c r="E138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38" s="320">
        <v>71.270718232044189</v>
      </c>
      <c r="G138" s="383">
        <f>Tabela746[[#This Row],[Meta 2024 (N)]]*$E$6</f>
        <v>46.662655000000008</v>
      </c>
      <c r="H138" s="386">
        <v>71.788700000000006</v>
      </c>
      <c r="I138" s="258" t="b">
        <f t="shared" si="5"/>
        <v>0</v>
      </c>
      <c r="J138" s="258" t="b">
        <f>IF(E138="Grupo 2",IF(J138&lt;=0,0,IF(AND(J138&gt;0,J138&lt;0.25),0.25,IF(AND(J138&gt;=0.25,J138&lt;0.5),0.5,IF(AND(J138&gt;=0.5,J138&lt;0.75),0.75,IF(AND(J138&gt;=0.75,J138&lt;1),1,1))))))</f>
        <v>0</v>
      </c>
      <c r="K138" s="258">
        <f>IF(E138="Intermediário", MAX(0, MIN(1, (Tabela746[[#This Row],[TCC 2024 (N)]]-Tabela746[[#This Row],[Linha de Base 2024 (N) ]])/(Tabela746[[#This Row],[Meta 2024 (N)]]-Tabela746[[#This Row],[Linha de Base 2024 (N) ]]))), "FALSO")</f>
        <v>0.62202434432743625</v>
      </c>
      <c r="L138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38" s="259">
        <f>SUM(Tabela746[[#This Row],[ICM Atribuído - Grupo 1]:[ICM Atribuído - Grupo 4]])</f>
        <v>0.62202434432743625</v>
      </c>
      <c r="N138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0.75</v>
      </c>
      <c r="O138" s="258">
        <f>IF(Tabela746[[#This Row],[APLICANDO FORMULA GRUPO 3 - ENQUADRAMENTO]]&lt;0,0,Tabela746[[#This Row],[APLICANDO FORMULA GRUPO 3 - ENQUADRAMENTO]])</f>
        <v>0.75</v>
      </c>
    </row>
    <row r="139" spans="1:15">
      <c r="A139" s="380">
        <v>159</v>
      </c>
      <c r="B139" s="408" t="s">
        <v>86</v>
      </c>
      <c r="C139" s="381">
        <v>0.70247591914258578</v>
      </c>
      <c r="D139" s="258">
        <f t="shared" ref="D139:D202" si="6">C139*100</f>
        <v>70.247591914258578</v>
      </c>
      <c r="E139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39" s="320">
        <v>72.039473684210535</v>
      </c>
      <c r="G139" s="383">
        <f>Tabela746[[#This Row],[Meta 2024 (N)]]*$E$6</f>
        <v>47.11694</v>
      </c>
      <c r="H139" s="386">
        <v>72.4876</v>
      </c>
      <c r="I139" s="258" t="b">
        <f t="shared" si="5"/>
        <v>0</v>
      </c>
      <c r="J139" s="258">
        <f>IF(E139="Excelência",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0.7</v>
      </c>
      <c r="K139" s="258" t="str">
        <f>IF(E139="Intermediário", MAX(0, MIN(1, (Tabela746[[#This Row],[TCC 2024 (N)]]-Tabela746[[#This Row],[Linha de Base 2024 (N) ]])/(Tabela746[[#This Row],[Meta 2024 (N)]]-Tabela746[[#This Row],[Linha de Base 2024 (N) ]]))), "FALSO")</f>
        <v>FALSO</v>
      </c>
      <c r="L139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39" s="259">
        <f>SUM(Tabela746[[#This Row],[ICM Atribuído - Grupo 1]:[ICM Atribuído - Grupo 4]])</f>
        <v>0.7</v>
      </c>
      <c r="N139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0.7</v>
      </c>
      <c r="O139" s="258">
        <f>IF(Tabela746[[#This Row],[APLICANDO FORMULA GRUPO 3 - ENQUADRAMENTO]]&lt;0,0,Tabela746[[#This Row],[APLICANDO FORMULA GRUPO 3 - ENQUADRAMENTO]])</f>
        <v>0.7</v>
      </c>
    </row>
    <row r="140" spans="1:15">
      <c r="A140" s="385">
        <v>161</v>
      </c>
      <c r="B140" s="409" t="s">
        <v>225</v>
      </c>
      <c r="C140" s="381">
        <v>0.4927486526212641</v>
      </c>
      <c r="D140" s="258">
        <f t="shared" si="6"/>
        <v>49.274865262126411</v>
      </c>
      <c r="E140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40" s="320">
        <v>42.616033755274266</v>
      </c>
      <c r="G140" s="383">
        <f>Tabela746[[#This Row],[Meta 2024 (N)]]*$E$6</f>
        <v>29.318574999999999</v>
      </c>
      <c r="H140" s="386">
        <v>45.105499999999999</v>
      </c>
      <c r="I140" s="258" t="b">
        <f t="shared" si="5"/>
        <v>0</v>
      </c>
      <c r="J140" s="258" t="b">
        <f>IF(E140="Grupo 2",IF(J140&lt;=0,0,IF(AND(J140&gt;0,J140&lt;0.25),0.25,IF(AND(J140&gt;=0.25,J140&lt;0.5),0.5,IF(AND(J140&gt;=0.5,J140&lt;0.75),0.75,IF(AND(J140&gt;=0.75,J140&lt;1),1,1))))))</f>
        <v>0</v>
      </c>
      <c r="K140" s="258">
        <f>IF(E140="Intermediário", MAX(0, MIN(1, (Tabela746[[#This Row],[TCC 2024 (N)]]-Tabela746[[#This Row],[Linha de Base 2024 (N) ]])/(Tabela746[[#This Row],[Meta 2024 (N)]]-Tabela746[[#This Row],[Linha de Base 2024 (N) ]]))), "FALSO")</f>
        <v>1</v>
      </c>
      <c r="L140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40" s="259">
        <f>SUM(Tabela746[[#This Row],[ICM Atribuído - Grupo 1]:[ICM Atribuído - Grupo 4]])</f>
        <v>1</v>
      </c>
      <c r="N140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40" s="258">
        <f>IF(Tabela746[[#This Row],[APLICANDO FORMULA GRUPO 3 - ENQUADRAMENTO]]&lt;0,0,Tabela746[[#This Row],[APLICANDO FORMULA GRUPO 3 - ENQUADRAMENTO]])</f>
        <v>1</v>
      </c>
    </row>
    <row r="141" spans="1:15">
      <c r="A141" s="380">
        <v>162</v>
      </c>
      <c r="B141" s="408" t="s">
        <v>206</v>
      </c>
      <c r="C141" s="381">
        <v>0.62876506024096379</v>
      </c>
      <c r="D141" s="258">
        <f t="shared" si="6"/>
        <v>62.876506024096379</v>
      </c>
      <c r="E141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41" s="320">
        <v>66.666666666666657</v>
      </c>
      <c r="G141" s="383">
        <f>Tabela746[[#This Row],[Meta 2024 (N)]]*$E$6</f>
        <v>43.530305000000006</v>
      </c>
      <c r="H141" s="386">
        <v>66.969700000000003</v>
      </c>
      <c r="I141" s="258" t="b">
        <f t="shared" si="5"/>
        <v>0</v>
      </c>
      <c r="J141" s="258" t="b">
        <f>IF(E141="Grupo 2",IF(J141&lt;=0,0,IF(AND(J141&gt;0,J141&lt;0.25),0.25,IF(AND(J141&gt;=0.25,J141&lt;0.5),0.5,IF(AND(J141&gt;=0.5,J141&lt;0.75),0.75,IF(AND(J141&gt;=0.75,J141&lt;1),1,1))))))</f>
        <v>0</v>
      </c>
      <c r="K141" s="258">
        <f>IF(E141="Intermediário", MAX(0, MIN(1, (Tabela746[[#This Row],[TCC 2024 (N)]]-Tabela746[[#This Row],[Linha de Base 2024 (N) ]])/(Tabela746[[#This Row],[Meta 2024 (N)]]-Tabela746[[#This Row],[Linha de Base 2024 (N) ]]))), "FALSO")</f>
        <v>0.8253711763506002</v>
      </c>
      <c r="L141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41" s="259">
        <f>SUM(Tabela746[[#This Row],[ICM Atribuído - Grupo 1]:[ICM Atribuído - Grupo 4]])</f>
        <v>0.8253711763506002</v>
      </c>
      <c r="N141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41" s="258">
        <f>IF(Tabela746[[#This Row],[APLICANDO FORMULA GRUPO 3 - ENQUADRAMENTO]]&lt;0,0,Tabela746[[#This Row],[APLICANDO FORMULA GRUPO 3 - ENQUADRAMENTO]])</f>
        <v>1</v>
      </c>
    </row>
    <row r="142" spans="1:15">
      <c r="A142" s="385">
        <v>164</v>
      </c>
      <c r="B142" s="409" t="s">
        <v>127</v>
      </c>
      <c r="C142" s="381">
        <v>0.78637955182072827</v>
      </c>
      <c r="D142" s="258">
        <f t="shared" si="6"/>
        <v>78.63795518207283</v>
      </c>
      <c r="E142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142" s="320">
        <v>74.213836477987414</v>
      </c>
      <c r="G142" s="383">
        <f>Tabela746[[#This Row],[Meta 2024 (N)]]*$E$6</f>
        <v>48.401795</v>
      </c>
      <c r="H142" s="386">
        <v>74.464299999999994</v>
      </c>
      <c r="I142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142" s="258" t="b">
        <f>IF(E142="Excelência",
   IF(Tabela746[[#This Row],[TCC 2024 (N)]]&gt;=Tabela746[[#This Row],[TCC 2023(n)]],1,
      IF(Tabela746[[#This Row],[TCC 2024 (N)]]&gt;=C136,0.95,
         IF(AND(Tabela746[[#This Row],[TCC 2024 (N)]]&lt;Tabela746[[#This Row],[TCC 2024]], Tabela746[[#This Row],[TCC 2024 (N)]]&gt;E135),0.85,
            IF(AND(Tabela746[[#This Row],[TCC 2024 (N)]]&lt;E135, Tabela746[[#This Row],[TCC 2024 (N)]]&gt;=C135),0.8, FALSE)
         )
      )
   )
)</f>
        <v>0</v>
      </c>
      <c r="K142" s="258" t="str">
        <f>IF(E142="Intermediário", MAX(0, MIN(1, (Tabela746[[#This Row],[TCC 2024 (N)]]-Tabela746[[#This Row],[Linha de Base 2024 (N) ]])/(Tabela746[[#This Row],[Meta 2024 (N)]]-Tabela746[[#This Row],[Linha de Base 2024 (N) ]]))), "FALSO")</f>
        <v>FALSO</v>
      </c>
      <c r="L142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42" s="259">
        <f>SUM(Tabela746[[#This Row],[ICM Atribuído - Grupo 1]:[ICM Atribuído - Grupo 4]])</f>
        <v>1</v>
      </c>
      <c r="N142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42" s="258">
        <f>IF(Tabela746[[#This Row],[APLICANDO FORMULA GRUPO 3 - ENQUADRAMENTO]]&lt;0,0,Tabela746[[#This Row],[APLICANDO FORMULA GRUPO 3 - ENQUADRAMENTO]])</f>
        <v>1</v>
      </c>
    </row>
    <row r="143" spans="1:15">
      <c r="A143" s="380">
        <v>165</v>
      </c>
      <c r="B143" s="408" t="s">
        <v>16</v>
      </c>
      <c r="C143" s="381">
        <v>0.77048454247497566</v>
      </c>
      <c r="D143" s="258">
        <f t="shared" si="6"/>
        <v>77.04845424749756</v>
      </c>
      <c r="E143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143" s="320">
        <v>83.333333333333343</v>
      </c>
      <c r="G143" s="383">
        <f>Tabela746[[#This Row],[Meta 2024 (N)]]*$E$6</f>
        <v>54.782195000000002</v>
      </c>
      <c r="H143" s="386">
        <v>84.280299999999997</v>
      </c>
      <c r="I143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0.8</v>
      </c>
      <c r="J143" s="258" t="b">
        <f>IF(E143="Excelência",
   IF(Tabela746[[#This Row],[TCC 2024 (N)]]&gt;=Tabela746[[#This Row],[TCC 2023(n)]],1,
      IF(Tabela746[[#This Row],[TCC 2024 (N)]]&gt;=C136,0.95,
         IF(AND(Tabela746[[#This Row],[TCC 2024 (N)]]&lt;Tabela746[[#This Row],[TCC 2024]], Tabela746[[#This Row],[TCC 2024 (N)]]&gt;E135),0.85,
            IF(AND(Tabela746[[#This Row],[TCC 2024 (N)]]&lt;E135, Tabela746[[#This Row],[TCC 2024 (N)]]&gt;=C135),0.8, FALSE)
         )
      )
   )
)</f>
        <v>0</v>
      </c>
      <c r="K143" s="258" t="str">
        <f>IF(E143="Intermediário", MAX(0, MIN(1, (Tabela746[[#This Row],[TCC 2024 (N)]]-Tabela746[[#This Row],[Linha de Base 2024 (N) ]])/(Tabela746[[#This Row],[Meta 2024 (N)]]-Tabela746[[#This Row],[Linha de Base 2024 (N) ]]))), "FALSO")</f>
        <v>FALSO</v>
      </c>
      <c r="L143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43" s="259">
        <f>SUM(Tabela746[[#This Row],[ICM Atribuído - Grupo 1]:[ICM Atribuído - Grupo 4]])</f>
        <v>0.8</v>
      </c>
      <c r="N143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0.8</v>
      </c>
      <c r="O143" s="258">
        <f>IF(Tabela746[[#This Row],[APLICANDO FORMULA GRUPO 3 - ENQUADRAMENTO]]&lt;0,0,Tabela746[[#This Row],[APLICANDO FORMULA GRUPO 3 - ENQUADRAMENTO]])</f>
        <v>0.8</v>
      </c>
    </row>
    <row r="144" spans="1:15">
      <c r="A144" s="385">
        <v>166</v>
      </c>
      <c r="B144" s="409" t="s">
        <v>72</v>
      </c>
      <c r="C144" s="381">
        <v>0.71580296499477525</v>
      </c>
      <c r="D144" s="258">
        <f t="shared" si="6"/>
        <v>71.580296499477527</v>
      </c>
      <c r="E144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44" s="320">
        <v>77.823408624229984</v>
      </c>
      <c r="G144" s="383">
        <f>Tabela746[[#This Row],[Meta 2024 (N)]]*$E$6</f>
        <v>51.526344999999999</v>
      </c>
      <c r="H144" s="386">
        <v>79.271299999999997</v>
      </c>
      <c r="I144" s="258" t="b">
        <f>IF(E144="Grupo 1",IF(AND(D144&gt;=$C$1,D144&lt;F144),0.75,IF(AND(D144&gt;=F144,D144&lt;H144),1,IF(D144&gt;=H144,1))))</f>
        <v>0</v>
      </c>
      <c r="J144" s="258">
        <f>IF(E144="Excelência",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0.7</v>
      </c>
      <c r="K144" s="258" t="str">
        <f>IF(E144="Intermediário", MAX(0, MIN(1, (Tabela746[[#This Row],[TCC 2024 (N)]]-Tabela746[[#This Row],[Linha de Base 2024 (N) ]])/(Tabela746[[#This Row],[Meta 2024 (N)]]-Tabela746[[#This Row],[Linha de Base 2024 (N) ]]))), "FALSO")</f>
        <v>FALSO</v>
      </c>
      <c r="L144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44" s="259">
        <f>SUM(Tabela746[[#This Row],[ICM Atribuído - Grupo 1]:[ICM Atribuído - Grupo 4]])</f>
        <v>0.7</v>
      </c>
      <c r="N144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0.7</v>
      </c>
      <c r="O144" s="258">
        <f>IF(Tabela746[[#This Row],[APLICANDO FORMULA GRUPO 3 - ENQUADRAMENTO]]&lt;0,0,Tabela746[[#This Row],[APLICANDO FORMULA GRUPO 3 - ENQUADRAMENTO]])</f>
        <v>0.7</v>
      </c>
    </row>
    <row r="145" spans="1:15">
      <c r="A145" s="380">
        <v>169</v>
      </c>
      <c r="B145" s="408" t="s">
        <v>108</v>
      </c>
      <c r="C145" s="381">
        <v>0.74307545367717287</v>
      </c>
      <c r="D145" s="258">
        <f t="shared" si="6"/>
        <v>74.307545367717282</v>
      </c>
      <c r="E145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45" s="320">
        <v>76.155268022181147</v>
      </c>
      <c r="G145" s="383">
        <f>Tabela746[[#This Row],[Meta 2024 (N)]]*$E$6</f>
        <v>49.548980000000007</v>
      </c>
      <c r="H145" s="386">
        <v>76.229200000000006</v>
      </c>
      <c r="I145" s="258" t="b">
        <f>IF(E145="Grupo 1",IF(AND(D145&gt;=$C$1,D145&lt;F145),0.75,IF(AND(D145&gt;=F145,D145&lt;H145),1,IF(D145&gt;=H145,1))))</f>
        <v>0</v>
      </c>
      <c r="J145" s="258">
        <f>IF(E145="Excelência",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0.9</v>
      </c>
      <c r="K145" s="258" t="str">
        <f>IF(E145="Intermediário", MAX(0, MIN(1, (Tabela746[[#This Row],[TCC 2024 (N)]]-Tabela746[[#This Row],[Linha de Base 2024 (N) ]])/(Tabela746[[#This Row],[Meta 2024 (N)]]-Tabela746[[#This Row],[Linha de Base 2024 (N) ]]))), "FALSO")</f>
        <v>FALSO</v>
      </c>
      <c r="L145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45" s="259">
        <f>SUM(Tabela746[[#This Row],[ICM Atribuído - Grupo 1]:[ICM Atribuído - Grupo 4]])</f>
        <v>0.9</v>
      </c>
      <c r="N145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0.9</v>
      </c>
      <c r="O145" s="258">
        <f>IF(Tabela746[[#This Row],[APLICANDO FORMULA GRUPO 3 - ENQUADRAMENTO]]&lt;0,0,Tabela746[[#This Row],[APLICANDO FORMULA GRUPO 3 - ENQUADRAMENTO]])</f>
        <v>0.9</v>
      </c>
    </row>
    <row r="146" spans="1:15">
      <c r="A146" s="385">
        <v>170</v>
      </c>
      <c r="B146" s="409" t="s">
        <v>18</v>
      </c>
      <c r="C146" s="381">
        <v>0.74358552631578956</v>
      </c>
      <c r="D146" s="258">
        <f t="shared" si="6"/>
        <v>74.358552631578959</v>
      </c>
      <c r="E146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46" s="320">
        <v>81.179138321995467</v>
      </c>
      <c r="G146" s="383">
        <f>Tabela746[[#This Row],[Meta 2024 (N)]]*$E$6</f>
        <v>53.509235000000004</v>
      </c>
      <c r="H146" s="386">
        <v>82.321899999999999</v>
      </c>
      <c r="I146" s="258" t="b">
        <f>IF(E146="Grupo 1",IF(AND(D146&gt;=$C$1,D146&lt;F146),0.75,IF(AND(D146&gt;=F146,D146&lt;H146),1,IF(D146&gt;=H146,1))))</f>
        <v>0</v>
      </c>
      <c r="J146" s="258">
        <f>IF(E146="Excelência",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0.9</v>
      </c>
      <c r="K146" s="258" t="str">
        <f>IF(E146="Intermediário", MAX(0, MIN(1, (Tabela746[[#This Row],[TCC 2024 (N)]]-Tabela746[[#This Row],[Linha de Base 2024 (N) ]])/(Tabela746[[#This Row],[Meta 2024 (N)]]-Tabela746[[#This Row],[Linha de Base 2024 (N) ]]))), "FALSO")</f>
        <v>FALSO</v>
      </c>
      <c r="L146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46" s="259">
        <f>SUM(Tabela746[[#This Row],[ICM Atribuído - Grupo 1]:[ICM Atribuído - Grupo 4]])</f>
        <v>0.9</v>
      </c>
      <c r="N146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0.9</v>
      </c>
      <c r="O146" s="258">
        <f>IF(Tabela746[[#This Row],[APLICANDO FORMULA GRUPO 3 - ENQUADRAMENTO]]&lt;0,0,Tabela746[[#This Row],[APLICANDO FORMULA GRUPO 3 - ENQUADRAMENTO]])</f>
        <v>0.9</v>
      </c>
    </row>
    <row r="147" spans="1:15">
      <c r="A147" s="380">
        <v>172</v>
      </c>
      <c r="B147" s="408" t="s">
        <v>87</v>
      </c>
      <c r="C147" s="381">
        <v>0.79245176788529381</v>
      </c>
      <c r="D147" s="258">
        <f t="shared" si="6"/>
        <v>79.245176788529378</v>
      </c>
      <c r="E147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147" s="320">
        <v>74.484052532833019</v>
      </c>
      <c r="G147" s="383">
        <f>Tabela746[[#This Row],[Meta 2024 (N)]]*$E$6</f>
        <v>48.561435000000003</v>
      </c>
      <c r="H147" s="386">
        <v>74.709900000000005</v>
      </c>
      <c r="I147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147" s="258" t="b">
        <f>IF(E147="Excelência",
   IF(Tabela746[[#This Row],[TCC 2024 (N)]]&gt;=Tabela746[[#This Row],[TCC 2023(n)]],1,
      IF(Tabela746[[#This Row],[TCC 2024 (N)]]&gt;=C141,0.95,
         IF(AND(Tabela746[[#This Row],[TCC 2024 (N)]]&lt;Tabela746[[#This Row],[TCC 2024]], Tabela746[[#This Row],[TCC 2024 (N)]]&gt;E140),0.85,
            IF(AND(Tabela746[[#This Row],[TCC 2024 (N)]]&lt;E140, Tabela746[[#This Row],[TCC 2024 (N)]]&gt;=C140),0.8, FALSE)
         )
      )
   )
)</f>
        <v>0</v>
      </c>
      <c r="K147" s="258" t="str">
        <f>IF(E147="Intermediário", MAX(0, MIN(1, (Tabela746[[#This Row],[TCC 2024 (N)]]-Tabela746[[#This Row],[Linha de Base 2024 (N) ]])/(Tabela746[[#This Row],[Meta 2024 (N)]]-Tabela746[[#This Row],[Linha de Base 2024 (N) ]]))), "FALSO")</f>
        <v>FALSO</v>
      </c>
      <c r="L147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47" s="259">
        <f>SUM(Tabela746[[#This Row],[ICM Atribuído - Grupo 1]:[ICM Atribuído - Grupo 4]])</f>
        <v>1</v>
      </c>
      <c r="N147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47" s="258">
        <f>IF(Tabela746[[#This Row],[APLICANDO FORMULA GRUPO 3 - ENQUADRAMENTO]]&lt;0,0,Tabela746[[#This Row],[APLICANDO FORMULA GRUPO 3 - ENQUADRAMENTO]])</f>
        <v>1</v>
      </c>
    </row>
    <row r="148" spans="1:15">
      <c r="A148" s="385">
        <v>179</v>
      </c>
      <c r="B148" s="409" t="s">
        <v>186</v>
      </c>
      <c r="C148" s="381">
        <v>0.69685869685869695</v>
      </c>
      <c r="D148" s="258">
        <f t="shared" si="6"/>
        <v>69.68586968586969</v>
      </c>
      <c r="E148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48" s="320">
        <v>64.87455197132617</v>
      </c>
      <c r="G148" s="383">
        <f>Tabela746[[#This Row],[Meta 2024 (N)]]*$E$6</f>
        <v>42.471325000000007</v>
      </c>
      <c r="H148" s="386">
        <v>65.340500000000006</v>
      </c>
      <c r="I148" s="258" t="b">
        <f>IF(E148="Grupo 1",IF(AND(D148&gt;=$C$1,D148&lt;F148),0.75,IF(AND(D148&gt;=F148,D148&lt;H148),1,IF(D148&gt;=H148,1))))</f>
        <v>0</v>
      </c>
      <c r="J148" s="258" t="b">
        <f>IF(E148="Grupo 2",IF(J148&lt;=0,0,IF(AND(J148&gt;0,J148&lt;0.25),0.25,IF(AND(J148&gt;=0.25,J148&lt;0.5),0.5,IF(AND(J148&gt;=0.5,J148&lt;0.75),0.75,IF(AND(J148&gt;=0.75,J148&lt;1),1,1))))))</f>
        <v>0</v>
      </c>
      <c r="K148" s="258">
        <f>IF(E148="Intermediário", MAX(0, MIN(1, (Tabela746[[#This Row],[TCC 2024 (N)]]-Tabela746[[#This Row],[Linha de Base 2024 (N) ]])/(Tabela746[[#This Row],[Meta 2024 (N)]]-Tabela746[[#This Row],[Linha de Base 2024 (N) ]]))), "FALSO")</f>
        <v>1</v>
      </c>
      <c r="L148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48" s="259">
        <f>SUM(Tabela746[[#This Row],[ICM Atribuído - Grupo 1]:[ICM Atribuído - Grupo 4]])</f>
        <v>1</v>
      </c>
      <c r="N148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48" s="258">
        <f>IF(Tabela746[[#This Row],[APLICANDO FORMULA GRUPO 3 - ENQUADRAMENTO]]&lt;0,0,Tabela746[[#This Row],[APLICANDO FORMULA GRUPO 3 - ENQUADRAMENTO]])</f>
        <v>1</v>
      </c>
    </row>
    <row r="149" spans="1:15">
      <c r="A149" s="380">
        <v>180</v>
      </c>
      <c r="B149" s="408" t="s">
        <v>167</v>
      </c>
      <c r="C149" s="381">
        <v>0.69209176512618975</v>
      </c>
      <c r="D149" s="258">
        <f t="shared" si="6"/>
        <v>69.209176512618981</v>
      </c>
      <c r="E149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49" s="320">
        <v>61.348684210526315</v>
      </c>
      <c r="G149" s="383">
        <f>Tabela746[[#This Row],[Meta 2024 (N)]]*$E$6</f>
        <v>40.387880000000003</v>
      </c>
      <c r="H149" s="386">
        <v>62.135199999999998</v>
      </c>
      <c r="I149" s="258" t="b">
        <f>IF(E149="Grupo 1",IF(AND(D149&gt;=$C$1,D149&lt;F149),0.75,IF(AND(D149&gt;=F149,D149&lt;H149),1,IF(D149&gt;=H149,1))))</f>
        <v>0</v>
      </c>
      <c r="J149" s="258" t="b">
        <f>IF(E149="Grupo 2",IF(J149&lt;=0,0,IF(AND(J149&gt;0,J149&lt;0.25),0.25,IF(AND(J149&gt;=0.25,J149&lt;0.5),0.5,IF(AND(J149&gt;=0.5,J149&lt;0.75),0.75,IF(AND(J149&gt;=0.75,J149&lt;1),1,1))))))</f>
        <v>0</v>
      </c>
      <c r="K149" s="258">
        <f>IF(E149="Intermediário", MAX(0, MIN(1, (Tabela746[[#This Row],[TCC 2024 (N)]]-Tabela746[[#This Row],[Linha de Base 2024 (N) ]])/(Tabela746[[#This Row],[Meta 2024 (N)]]-Tabela746[[#This Row],[Linha de Base 2024 (N) ]]))), "FALSO")</f>
        <v>1</v>
      </c>
      <c r="L149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49" s="259">
        <f>SUM(Tabela746[[#This Row],[ICM Atribuído - Grupo 1]:[ICM Atribuído - Grupo 4]])</f>
        <v>1</v>
      </c>
      <c r="N149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49" s="258">
        <f>IF(Tabela746[[#This Row],[APLICANDO FORMULA GRUPO 3 - ENQUADRAMENTO]]&lt;0,0,Tabela746[[#This Row],[APLICANDO FORMULA GRUPO 3 - ENQUADRAMENTO]])</f>
        <v>1</v>
      </c>
    </row>
    <row r="150" spans="1:15">
      <c r="A150" s="385">
        <v>181</v>
      </c>
      <c r="B150" s="409" t="s">
        <v>89</v>
      </c>
      <c r="C150" s="381">
        <v>0.6973717948717949</v>
      </c>
      <c r="D150" s="258">
        <f t="shared" si="6"/>
        <v>69.737179487179489</v>
      </c>
      <c r="E150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50" s="320">
        <v>75.746268656716424</v>
      </c>
      <c r="G150" s="383">
        <f>Tabela746[[#This Row],[Meta 2024 (N)]]*$E$6</f>
        <v>49.307310000000001</v>
      </c>
      <c r="H150" s="386">
        <v>75.857399999999998</v>
      </c>
      <c r="I150" s="258" t="b">
        <f>IF(E150="Grupo 1",IF(AND(D150&gt;=$C$1,D150&lt;F150),0.75,IF(AND(D150&gt;=F150,D150&lt;H150),1,IF(D150&gt;=H150,1))))</f>
        <v>0</v>
      </c>
      <c r="J150" s="258" t="b">
        <f>IF(E150="Grupo 2",IF(J150&lt;=0,0,IF(AND(J150&gt;0,J150&lt;0.25),0.25,IF(AND(J150&gt;=0.25,J150&lt;0.5),0.5,IF(AND(J150&gt;=0.5,J150&lt;0.75),0.75,IF(AND(J150&gt;=0.75,J150&lt;1),1,1))))))</f>
        <v>0</v>
      </c>
      <c r="K150" s="258">
        <f>IF(E150="Intermediário", MAX(0, MIN(1, (Tabela746[[#This Row],[TCC 2024 (N)]]-Tabela746[[#This Row],[Linha de Base 2024 (N) ]])/(Tabela746[[#This Row],[Meta 2024 (N)]]-Tabela746[[#This Row],[Linha de Base 2024 (N) ]]))), "FALSO")</f>
        <v>0.76948400126626648</v>
      </c>
      <c r="L150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50" s="259">
        <f>SUM(Tabela746[[#This Row],[ICM Atribuído - Grupo 1]:[ICM Atribuído - Grupo 4]])</f>
        <v>0.76948400126626648</v>
      </c>
      <c r="N150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50" s="258">
        <f>IF(Tabela746[[#This Row],[APLICANDO FORMULA GRUPO 3 - ENQUADRAMENTO]]&lt;0,0,Tabela746[[#This Row],[APLICANDO FORMULA GRUPO 3 - ENQUADRAMENTO]])</f>
        <v>1</v>
      </c>
    </row>
    <row r="151" spans="1:15">
      <c r="A151" s="380">
        <v>185</v>
      </c>
      <c r="B151" s="408" t="s">
        <v>162</v>
      </c>
      <c r="C151" s="381">
        <v>0.81385281385281383</v>
      </c>
      <c r="D151" s="258">
        <f t="shared" si="6"/>
        <v>81.385281385281388</v>
      </c>
      <c r="E151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151" s="320">
        <v>76.25</v>
      </c>
      <c r="G151" s="383">
        <f>Tabela746[[#This Row],[Meta 2024 (N)]]*$E$6</f>
        <v>49.604945000000001</v>
      </c>
      <c r="H151" s="386">
        <v>76.315299999999993</v>
      </c>
      <c r="I151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151" s="258" t="b">
        <f>IF(E151="Grupo 2",IF(J151&lt;=0,0,IF(AND(J151&gt;0,J151&lt;0.25),0.25,IF(AND(J151&gt;=0.25,J151&lt;0.5),0.5,IF(AND(J151&gt;=0.5,J151&lt;0.75),0.75,IF(AND(J151&gt;=0.75,J151&lt;1),1,1))))))</f>
        <v>0</v>
      </c>
      <c r="K151" s="258" t="str">
        <f>IF(E151="Intermediário", MAX(0, MIN(1, (Tabela746[[#This Row],[TCC 2024 (N)]]-Tabela746[[#This Row],[Linha de Base 2024 (N) ]])/(Tabela746[[#This Row],[Meta 2024 (N)]]-Tabela746[[#This Row],[Linha de Base 2024 (N) ]]))), "FALSO")</f>
        <v>FALSO</v>
      </c>
      <c r="L151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51" s="259">
        <f>SUM(Tabela746[[#This Row],[ICM Atribuído - Grupo 1]:[ICM Atribuído - Grupo 4]])</f>
        <v>1</v>
      </c>
      <c r="N151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51" s="258">
        <f>IF(Tabela746[[#This Row],[APLICANDO FORMULA GRUPO 3 - ENQUADRAMENTO]]&lt;0,0,Tabela746[[#This Row],[APLICANDO FORMULA GRUPO 3 - ENQUADRAMENTO]])</f>
        <v>1</v>
      </c>
    </row>
    <row r="152" spans="1:15">
      <c r="A152" s="385">
        <v>186</v>
      </c>
      <c r="B152" s="409" t="s">
        <v>97</v>
      </c>
      <c r="C152" s="381">
        <v>0.58479023556118981</v>
      </c>
      <c r="D152" s="258">
        <f t="shared" si="6"/>
        <v>58.479023556118982</v>
      </c>
      <c r="E152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52" s="320">
        <v>66.525423728813564</v>
      </c>
      <c r="G152" s="383">
        <f>Tabela746[[#This Row],[Meta 2024 (N)]]*$E$6</f>
        <v>43.446845000000003</v>
      </c>
      <c r="H152" s="386">
        <v>66.841300000000004</v>
      </c>
      <c r="I152" s="258" t="b">
        <f>IF(E152="Grupo 1",IF(AND(D152&gt;=$C$1,D152&lt;F152),0.75,IF(AND(D152&gt;=F152,D152&lt;H152),1,IF(D152&gt;=H152,1))))</f>
        <v>0</v>
      </c>
      <c r="J152" s="258" t="b">
        <f>IF(E152="Grupo 2",IF(J152&lt;=0,0,IF(AND(J152&gt;0,J152&lt;0.25),0.25,IF(AND(J152&gt;=0.25,J152&lt;0.5),0.5,IF(AND(J152&gt;=0.5,J152&lt;0.75),0.75,IF(AND(J152&gt;=0.75,J152&lt;1),1,1))))))</f>
        <v>0</v>
      </c>
      <c r="K152" s="258">
        <f>IF(E152="Intermediário", MAX(0, MIN(1, (Tabela746[[#This Row],[TCC 2024 (N)]]-Tabela746[[#This Row],[Linha de Base 2024 (N) ]])/(Tabela746[[#This Row],[Meta 2024 (N)]]-Tabela746[[#This Row],[Linha de Base 2024 (N) ]]))), "FALSO")</f>
        <v>0.64255305610320812</v>
      </c>
      <c r="L152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52" s="259">
        <f>SUM(Tabela746[[#This Row],[ICM Atribuído - Grupo 1]:[ICM Atribuído - Grupo 4]])</f>
        <v>0.64255305610320812</v>
      </c>
      <c r="N152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0.75</v>
      </c>
      <c r="O152" s="258">
        <f>IF(Tabela746[[#This Row],[APLICANDO FORMULA GRUPO 3 - ENQUADRAMENTO]]&lt;0,0,Tabela746[[#This Row],[APLICANDO FORMULA GRUPO 3 - ENQUADRAMENTO]])</f>
        <v>0.75</v>
      </c>
    </row>
    <row r="153" spans="1:15">
      <c r="A153" s="380">
        <v>187</v>
      </c>
      <c r="B153" s="408" t="s">
        <v>51</v>
      </c>
      <c r="C153" s="381">
        <v>0.72291666666666665</v>
      </c>
      <c r="D153" s="258">
        <f t="shared" si="6"/>
        <v>72.291666666666671</v>
      </c>
      <c r="E153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53" s="320">
        <v>82.426778242677827</v>
      </c>
      <c r="G153" s="383">
        <f>Tabela746[[#This Row],[Meta 2024 (N)]]*$E$6</f>
        <v>54.24653</v>
      </c>
      <c r="H153" s="386">
        <v>83.456199999999995</v>
      </c>
      <c r="I153" s="258" t="b">
        <f>IF(E153="Grupo 1",IF(AND(D153&gt;=$C$1,D153&lt;F153),0.75,IF(AND(D153&gt;=F153,D153&lt;H153),1,IF(D153&gt;=H153,1))))</f>
        <v>0</v>
      </c>
      <c r="J153" s="258">
        <f>IF(E153="Excelência",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0.85</v>
      </c>
      <c r="K153" s="258" t="str">
        <f>IF(E153="Intermediário", MAX(0, MIN(1, (Tabela746[[#This Row],[TCC 2024 (N)]]-Tabela746[[#This Row],[Linha de Base 2024 (N) ]])/(Tabela746[[#This Row],[Meta 2024 (N)]]-Tabela746[[#This Row],[Linha de Base 2024 (N) ]]))), "FALSO")</f>
        <v>FALSO</v>
      </c>
      <c r="L153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53" s="259">
        <f>SUM(Tabela746[[#This Row],[ICM Atribuído - Grupo 1]:[ICM Atribuído - Grupo 4]])</f>
        <v>0.85</v>
      </c>
      <c r="N153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0.85</v>
      </c>
      <c r="O153" s="258">
        <f>IF(Tabela746[[#This Row],[APLICANDO FORMULA GRUPO 3 - ENQUADRAMENTO]]&lt;0,0,Tabela746[[#This Row],[APLICANDO FORMULA GRUPO 3 - ENQUADRAMENTO]])</f>
        <v>0.85</v>
      </c>
    </row>
    <row r="154" spans="1:15">
      <c r="A154" s="385">
        <v>188</v>
      </c>
      <c r="B154" s="409" t="s">
        <v>7</v>
      </c>
      <c r="C154" s="381">
        <v>0.94067796610169496</v>
      </c>
      <c r="D154" s="258">
        <f t="shared" si="6"/>
        <v>94.067796610169495</v>
      </c>
      <c r="E154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154" s="320">
        <v>93.75</v>
      </c>
      <c r="G154" s="383">
        <f>Tabela746[[#This Row],[Meta 2024 (N)]]*$E$6</f>
        <v>60.9375</v>
      </c>
      <c r="H154" s="386">
        <v>93.75</v>
      </c>
      <c r="I154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154" s="258" t="b">
        <f>IF(E154="Grupo 2",IF(J154&lt;=0,0,IF(AND(J154&gt;0,J154&lt;0.25),0.25,IF(AND(J154&gt;=0.25,J154&lt;0.5),0.5,IF(AND(J154&gt;=0.5,J154&lt;0.75),0.75,IF(AND(J154&gt;=0.75,J154&lt;1),1,1))))))</f>
        <v>0</v>
      </c>
      <c r="K154" s="258" t="str">
        <f>IF(E154="Intermediário", MAX(0, MIN(1, (Tabela746[[#This Row],[TCC 2024 (N)]]-Tabela746[[#This Row],[Linha de Base 2024 (N) ]])/(Tabela746[[#This Row],[Meta 2024 (N)]]-Tabela746[[#This Row],[Linha de Base 2024 (N) ]]))), "FALSO")</f>
        <v>FALSO</v>
      </c>
      <c r="L154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54" s="259">
        <f>SUM(Tabela746[[#This Row],[ICM Atribuído - Grupo 1]:[ICM Atribuído - Grupo 4]])</f>
        <v>1</v>
      </c>
      <c r="N154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54" s="258">
        <f>IF(Tabela746[[#This Row],[APLICANDO FORMULA GRUPO 3 - ENQUADRAMENTO]]&lt;0,0,Tabela746[[#This Row],[APLICANDO FORMULA GRUPO 3 - ENQUADRAMENTO]])</f>
        <v>1</v>
      </c>
    </row>
    <row r="155" spans="1:15">
      <c r="A155" s="380">
        <v>190</v>
      </c>
      <c r="B155" s="408" t="s">
        <v>113</v>
      </c>
      <c r="C155" s="381">
        <v>0.69511100856278518</v>
      </c>
      <c r="D155" s="258">
        <f t="shared" si="6"/>
        <v>69.511100856278517</v>
      </c>
      <c r="E155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55" s="320">
        <v>65.082266910420472</v>
      </c>
      <c r="G155" s="383">
        <f>Tabela746[[#This Row],[Meta 2024 (N)]]*$E$6</f>
        <v>42.594045000000008</v>
      </c>
      <c r="H155" s="386">
        <v>65.529300000000006</v>
      </c>
      <c r="I155" s="258" t="b">
        <f>IF(E155="Grupo 1",IF(AND(D155&gt;=$C$1,D155&lt;F155),0.75,IF(AND(D155&gt;=F155,D155&lt;H155),1,IF(D155&gt;=H155,1))))</f>
        <v>0</v>
      </c>
      <c r="J155" s="258" t="b">
        <f>IF(E155="Grupo 2",IF(J155&lt;=0,0,IF(AND(J155&gt;0,J155&lt;0.25),0.25,IF(AND(J155&gt;=0.25,J155&lt;0.5),0.5,IF(AND(J155&gt;=0.5,J155&lt;0.75),0.75,IF(AND(J155&gt;=0.75,J155&lt;1),1,1))))))</f>
        <v>0</v>
      </c>
      <c r="K155" s="258">
        <f>IF(E155="Intermediário", MAX(0, MIN(1, (Tabela746[[#This Row],[TCC 2024 (N)]]-Tabela746[[#This Row],[Linha de Base 2024 (N) ]])/(Tabela746[[#This Row],[Meta 2024 (N)]]-Tabela746[[#This Row],[Linha de Base 2024 (N) ]]))), "FALSO")</f>
        <v>1</v>
      </c>
      <c r="L155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55" s="259">
        <f>SUM(Tabela746[[#This Row],[ICM Atribuído - Grupo 1]:[ICM Atribuído - Grupo 4]])</f>
        <v>1</v>
      </c>
      <c r="N155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55" s="258">
        <f>IF(Tabela746[[#This Row],[APLICANDO FORMULA GRUPO 3 - ENQUADRAMENTO]]&lt;0,0,Tabela746[[#This Row],[APLICANDO FORMULA GRUPO 3 - ENQUADRAMENTO]])</f>
        <v>1</v>
      </c>
    </row>
    <row r="156" spans="1:15">
      <c r="A156" s="385">
        <v>191</v>
      </c>
      <c r="B156" s="409" t="s">
        <v>34</v>
      </c>
      <c r="C156" s="381">
        <v>0.92211055276381915</v>
      </c>
      <c r="D156" s="258">
        <f t="shared" si="6"/>
        <v>92.211055276381913</v>
      </c>
      <c r="E156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156" s="320">
        <v>93.305439330543933</v>
      </c>
      <c r="G156" s="383">
        <f>Tabela746[[#This Row],[Meta 2024 (N)]]*$E$6</f>
        <v>60.674835000000002</v>
      </c>
      <c r="H156" s="386">
        <v>93.3459</v>
      </c>
      <c r="I156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0.95</v>
      </c>
      <c r="J156" s="258" t="b">
        <f>IF(E156="Grupo 2",IF(J156&lt;=0,0,IF(AND(J156&gt;0,J156&lt;0.25),0.25,IF(AND(J156&gt;=0.25,J156&lt;0.5),0.5,IF(AND(J156&gt;=0.5,J156&lt;0.75),0.75,IF(AND(J156&gt;=0.75,J156&lt;1),1,1))))))</f>
        <v>0</v>
      </c>
      <c r="K156" s="258" t="str">
        <f>IF(E156="Intermediário", MAX(0, MIN(1, (Tabela746[[#This Row],[TCC 2024 (N)]]-Tabela746[[#This Row],[Linha de Base 2024 (N) ]])/(Tabela746[[#This Row],[Meta 2024 (N)]]-Tabela746[[#This Row],[Linha de Base 2024 (N) ]]))), "FALSO")</f>
        <v>FALSO</v>
      </c>
      <c r="L156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56" s="259">
        <f>SUM(Tabela746[[#This Row],[ICM Atribuído - Grupo 1]:[ICM Atribuído - Grupo 4]])</f>
        <v>0.95</v>
      </c>
      <c r="N156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0.95</v>
      </c>
      <c r="O156" s="258">
        <f>IF(Tabela746[[#This Row],[APLICANDO FORMULA GRUPO 3 - ENQUADRAMENTO]]&lt;0,0,Tabela746[[#This Row],[APLICANDO FORMULA GRUPO 3 - ENQUADRAMENTO]])</f>
        <v>0.95</v>
      </c>
    </row>
    <row r="157" spans="1:15">
      <c r="A157" s="380">
        <v>193</v>
      </c>
      <c r="B157" s="408" t="s">
        <v>132</v>
      </c>
      <c r="C157" s="381">
        <v>0.77217920353982294</v>
      </c>
      <c r="D157" s="258">
        <f t="shared" si="6"/>
        <v>77.217920353982294</v>
      </c>
      <c r="E157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157" s="320">
        <v>69.879518072289159</v>
      </c>
      <c r="G157" s="383">
        <f>Tabela746[[#This Row],[Meta 2024 (N)]]*$E$6</f>
        <v>45.428825000000003</v>
      </c>
      <c r="H157" s="386">
        <v>69.890500000000003</v>
      </c>
      <c r="I157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157" s="258" t="b">
        <f>IF(E157="Excelência",
   IF(Tabela746[[#This Row],[TCC 2024 (N)]]&gt;=Tabela746[[#This Row],[TCC 2023(n)]],1,
      IF(Tabela746[[#This Row],[TCC 2024 (N)]]&gt;=C151,0.95,
         IF(AND(Tabela746[[#This Row],[TCC 2024 (N)]]&lt;Tabela746[[#This Row],[TCC 2024]], Tabela746[[#This Row],[TCC 2024 (N)]]&gt;E150),0.85,
            IF(AND(Tabela746[[#This Row],[TCC 2024 (N)]]&lt;E150, Tabela746[[#This Row],[TCC 2024 (N)]]&gt;=C150),0.8, FALSE)
         )
      )
   )
)</f>
        <v>0</v>
      </c>
      <c r="K157" s="258" t="str">
        <f>IF(E157="Intermediário", MAX(0, MIN(1, (Tabela746[[#This Row],[TCC 2024 (N)]]-Tabela746[[#This Row],[Linha de Base 2024 (N) ]])/(Tabela746[[#This Row],[Meta 2024 (N)]]-Tabela746[[#This Row],[Linha de Base 2024 (N) ]]))), "FALSO")</f>
        <v>FALSO</v>
      </c>
      <c r="L157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57" s="259">
        <f>SUM(Tabela746[[#This Row],[ICM Atribuído - Grupo 1]:[ICM Atribuído - Grupo 4]])</f>
        <v>1</v>
      </c>
      <c r="N157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57" s="258">
        <f>IF(Tabela746[[#This Row],[APLICANDO FORMULA GRUPO 3 - ENQUADRAMENTO]]&lt;0,0,Tabela746[[#This Row],[APLICANDO FORMULA GRUPO 3 - ENQUADRAMENTO]])</f>
        <v>1</v>
      </c>
    </row>
    <row r="158" spans="1:15">
      <c r="A158" s="385">
        <v>194</v>
      </c>
      <c r="B158" s="409" t="s">
        <v>99</v>
      </c>
      <c r="C158" s="381">
        <v>0.65749999999999997</v>
      </c>
      <c r="D158" s="258">
        <f t="shared" si="6"/>
        <v>65.75</v>
      </c>
      <c r="E158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58" s="320">
        <v>67.287784679089029</v>
      </c>
      <c r="G158" s="383">
        <f>Tabela746[[#This Row],[Meta 2024 (N)]]*$E$6</f>
        <v>43.897360000000006</v>
      </c>
      <c r="H158" s="386">
        <v>67.534400000000005</v>
      </c>
      <c r="I158" s="258" t="b">
        <f t="shared" ref="I158:I163" si="7">IF(E158="Grupo 1",IF(AND(D158&gt;=$C$1,D158&lt;F158),0.75,IF(AND(D158&gt;=F158,D158&lt;H158),1,IF(D158&gt;=H158,1))))</f>
        <v>0</v>
      </c>
      <c r="J158" s="258" t="b">
        <f>IF(E158="Grupo 2",IF(J158&lt;=0,0,IF(AND(J158&gt;0,J158&lt;0.25),0.25,IF(AND(J158&gt;=0.25,J158&lt;0.5),0.5,IF(AND(J158&gt;=0.5,J158&lt;0.75),0.75,IF(AND(J158&gt;=0.75,J158&lt;1),1,1))))))</f>
        <v>0</v>
      </c>
      <c r="K158" s="258">
        <f>IF(E158="Intermediário", MAX(0, MIN(1, (Tabela746[[#This Row],[TCC 2024 (N)]]-Tabela746[[#This Row],[Linha de Base 2024 (N) ]])/(Tabela746[[#This Row],[Meta 2024 (N)]]-Tabela746[[#This Row],[Linha de Base 2024 (N) ]]))), "FALSO")</f>
        <v>0.92450831406978173</v>
      </c>
      <c r="L158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58" s="259">
        <f>SUM(Tabela746[[#This Row],[ICM Atribuído - Grupo 1]:[ICM Atribuído - Grupo 4]])</f>
        <v>0.92450831406978173</v>
      </c>
      <c r="N158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58" s="258">
        <f>IF(Tabela746[[#This Row],[APLICANDO FORMULA GRUPO 3 - ENQUADRAMENTO]]&lt;0,0,Tabela746[[#This Row],[APLICANDO FORMULA GRUPO 3 - ENQUADRAMENTO]])</f>
        <v>1</v>
      </c>
    </row>
    <row r="159" spans="1:15">
      <c r="A159" s="380">
        <v>195</v>
      </c>
      <c r="B159" s="408" t="s">
        <v>143</v>
      </c>
      <c r="C159" s="381">
        <v>0.65868644067796611</v>
      </c>
      <c r="D159" s="258">
        <f t="shared" si="6"/>
        <v>65.868644067796609</v>
      </c>
      <c r="E159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59" s="320">
        <v>65.266106442577026</v>
      </c>
      <c r="G159" s="383">
        <f>Tabela746[[#This Row],[Meta 2024 (N)]]*$E$6</f>
        <v>42.702725000000001</v>
      </c>
      <c r="H159" s="386">
        <v>65.6965</v>
      </c>
      <c r="I159" s="258" t="b">
        <f t="shared" si="7"/>
        <v>0</v>
      </c>
      <c r="J159" s="258" t="b">
        <f>IF(E159="Grupo 2",IF(J159&lt;=0,0,IF(AND(J159&gt;0,J159&lt;0.25),0.25,IF(AND(J159&gt;=0.25,J159&lt;0.5),0.5,IF(AND(J159&gt;=0.5,J159&lt;0.75),0.75,IF(AND(J159&gt;=0.75,J159&lt;1),1,1))))))</f>
        <v>0</v>
      </c>
      <c r="K159" s="258">
        <f>IF(E159="Intermediário", MAX(0, MIN(1, (Tabela746[[#This Row],[TCC 2024 (N)]]-Tabela746[[#This Row],[Linha de Base 2024 (N) ]])/(Tabela746[[#This Row],[Meta 2024 (N)]]-Tabela746[[#This Row],[Linha de Base 2024 (N) ]]))), "FALSO")</f>
        <v>1</v>
      </c>
      <c r="L159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59" s="259">
        <f>SUM(Tabela746[[#This Row],[ICM Atribuído - Grupo 1]:[ICM Atribuído - Grupo 4]])</f>
        <v>1</v>
      </c>
      <c r="N159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59" s="258">
        <f>IF(Tabela746[[#This Row],[APLICANDO FORMULA GRUPO 3 - ENQUADRAMENTO]]&lt;0,0,Tabela746[[#This Row],[APLICANDO FORMULA GRUPO 3 - ENQUADRAMENTO]])</f>
        <v>1</v>
      </c>
    </row>
    <row r="160" spans="1:15">
      <c r="A160" s="385">
        <v>197</v>
      </c>
      <c r="B160" s="409" t="s">
        <v>173</v>
      </c>
      <c r="C160" s="381">
        <v>0.73478260869565215</v>
      </c>
      <c r="D160" s="258">
        <f t="shared" si="6"/>
        <v>73.478260869565219</v>
      </c>
      <c r="E160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60" s="320">
        <v>70.434782608695656</v>
      </c>
      <c r="G160" s="383">
        <f>Tabela746[[#This Row],[Meta 2024 (N)]]*$E$6</f>
        <v>46.168720000000008</v>
      </c>
      <c r="H160" s="386">
        <v>71.028800000000004</v>
      </c>
      <c r="I160" s="258" t="b">
        <f t="shared" si="7"/>
        <v>0</v>
      </c>
      <c r="J160" s="258">
        <f>IF(E160="Excelência",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160" s="258" t="str">
        <f>IF(E160="Intermediário", MAX(0, MIN(1, (Tabela746[[#This Row],[TCC 2024 (N)]]-Tabela746[[#This Row],[Linha de Base 2024 (N) ]])/(Tabela746[[#This Row],[Meta 2024 (N)]]-Tabela746[[#This Row],[Linha de Base 2024 (N) ]]))), "FALSO")</f>
        <v>FALSO</v>
      </c>
      <c r="L160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60" s="259">
        <f>SUM(Tabela746[[#This Row],[ICM Atribuído - Grupo 1]:[ICM Atribuído - Grupo 4]])</f>
        <v>1</v>
      </c>
      <c r="N160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60" s="258">
        <f>IF(Tabela746[[#This Row],[APLICANDO FORMULA GRUPO 3 - ENQUADRAMENTO]]&lt;0,0,Tabela746[[#This Row],[APLICANDO FORMULA GRUPO 3 - ENQUADRAMENTO]])</f>
        <v>1</v>
      </c>
    </row>
    <row r="161" spans="1:15">
      <c r="A161" s="380">
        <v>198</v>
      </c>
      <c r="B161" s="408" t="s">
        <v>67</v>
      </c>
      <c r="C161" s="381">
        <v>0.72441508833359858</v>
      </c>
      <c r="D161" s="258">
        <f t="shared" si="6"/>
        <v>72.441508833359862</v>
      </c>
      <c r="E161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61" s="320">
        <v>82.214765100671144</v>
      </c>
      <c r="G161" s="383">
        <f>Tabela746[[#This Row],[Meta 2024 (N)]]*$E$6</f>
        <v>54.121210000000005</v>
      </c>
      <c r="H161" s="386">
        <v>83.263400000000004</v>
      </c>
      <c r="I161" s="258" t="b">
        <f t="shared" si="7"/>
        <v>0</v>
      </c>
      <c r="J161" s="258">
        <f>IF(E161="Excelência",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0.85</v>
      </c>
      <c r="K161" s="258" t="str">
        <f>IF(E161="Intermediário", MAX(0, MIN(1, (Tabela746[[#This Row],[TCC 2024 (N)]]-Tabela746[[#This Row],[Linha de Base 2024 (N) ]])/(Tabela746[[#This Row],[Meta 2024 (N)]]-Tabela746[[#This Row],[Linha de Base 2024 (N) ]]))), "FALSO")</f>
        <v>FALSO</v>
      </c>
      <c r="L161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61" s="259">
        <f>SUM(Tabela746[[#This Row],[ICM Atribuído - Grupo 1]:[ICM Atribuído - Grupo 4]])</f>
        <v>0.85</v>
      </c>
      <c r="N161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0.85</v>
      </c>
      <c r="O161" s="258">
        <f>IF(Tabela746[[#This Row],[APLICANDO FORMULA GRUPO 3 - ENQUADRAMENTO]]&lt;0,0,Tabela746[[#This Row],[APLICANDO FORMULA GRUPO 3 - ENQUADRAMENTO]])</f>
        <v>0.85</v>
      </c>
    </row>
    <row r="162" spans="1:15">
      <c r="A162" s="385">
        <v>199</v>
      </c>
      <c r="B162" s="409" t="s">
        <v>19</v>
      </c>
      <c r="C162" s="381">
        <v>0.76160837779095036</v>
      </c>
      <c r="D162" s="258">
        <f t="shared" si="6"/>
        <v>76.160837779095033</v>
      </c>
      <c r="E162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62" s="320">
        <v>78.206896551724142</v>
      </c>
      <c r="G162" s="383">
        <f>Tabela746[[#This Row],[Meta 2024 (N)]]*$E$6</f>
        <v>51.752935000000001</v>
      </c>
      <c r="H162" s="386">
        <v>79.619900000000001</v>
      </c>
      <c r="I162" s="258" t="b">
        <f t="shared" si="7"/>
        <v>0</v>
      </c>
      <c r="J162" s="258">
        <f>IF(E162="Excelência",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0.9</v>
      </c>
      <c r="K162" s="258" t="str">
        <f>IF(E162="Intermediário", MAX(0, MIN(1, (Tabela746[[#This Row],[TCC 2024 (N)]]-Tabela746[[#This Row],[Linha de Base 2024 (N) ]])/(Tabela746[[#This Row],[Meta 2024 (N)]]-Tabela746[[#This Row],[Linha de Base 2024 (N) ]]))), "FALSO")</f>
        <v>FALSO</v>
      </c>
      <c r="L162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62" s="259">
        <f>SUM(Tabela746[[#This Row],[ICM Atribuído - Grupo 1]:[ICM Atribuído - Grupo 4]])</f>
        <v>0.9</v>
      </c>
      <c r="N162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0.9</v>
      </c>
      <c r="O162" s="258">
        <f>IF(Tabela746[[#This Row],[APLICANDO FORMULA GRUPO 3 - ENQUADRAMENTO]]&lt;0,0,Tabela746[[#This Row],[APLICANDO FORMULA GRUPO 3 - ENQUADRAMENTO]])</f>
        <v>0.9</v>
      </c>
    </row>
    <row r="163" spans="1:15">
      <c r="A163" s="380">
        <v>200</v>
      </c>
      <c r="B163" s="408" t="s">
        <v>134</v>
      </c>
      <c r="C163" s="381">
        <v>0.74638744024337245</v>
      </c>
      <c r="D163" s="258">
        <f t="shared" si="6"/>
        <v>74.638744024337242</v>
      </c>
      <c r="E163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63" s="320">
        <v>69.155206286836929</v>
      </c>
      <c r="G163" s="383">
        <f>Tabela746[[#This Row],[Meta 2024 (N)]]*$E$6</f>
        <v>45.000799999999998</v>
      </c>
      <c r="H163" s="386">
        <v>69.231999999999999</v>
      </c>
      <c r="I163" s="258" t="b">
        <f t="shared" si="7"/>
        <v>0</v>
      </c>
      <c r="J163" s="258">
        <f>IF(E163="Excelência",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163" s="258" t="str">
        <f>IF(E163="Intermediário", MAX(0, MIN(1, (Tabela746[[#This Row],[TCC 2024 (N)]]-Tabela746[[#This Row],[Linha de Base 2024 (N) ]])/(Tabela746[[#This Row],[Meta 2024 (N)]]-Tabela746[[#This Row],[Linha de Base 2024 (N) ]]))), "FALSO")</f>
        <v>FALSO</v>
      </c>
      <c r="L163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63" s="259">
        <f>SUM(Tabela746[[#This Row],[ICM Atribuído - Grupo 1]:[ICM Atribuído - Grupo 4]])</f>
        <v>1</v>
      </c>
      <c r="N163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63" s="258">
        <f>IF(Tabela746[[#This Row],[APLICANDO FORMULA GRUPO 3 - ENQUADRAMENTO]]&lt;0,0,Tabela746[[#This Row],[APLICANDO FORMULA GRUPO 3 - ENQUADRAMENTO]])</f>
        <v>1</v>
      </c>
    </row>
    <row r="164" spans="1:15">
      <c r="A164" s="385">
        <v>201</v>
      </c>
      <c r="B164" s="409" t="s">
        <v>88</v>
      </c>
      <c r="C164" s="381">
        <v>0.81052794072244527</v>
      </c>
      <c r="D164" s="258">
        <f t="shared" si="6"/>
        <v>81.052794072244524</v>
      </c>
      <c r="E164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164" s="320">
        <v>77.368421052631575</v>
      </c>
      <c r="G164" s="383">
        <f>Tabela746[[#This Row],[Meta 2024 (N)]]*$E$6</f>
        <v>51.257504999999995</v>
      </c>
      <c r="H164" s="386">
        <v>78.857699999999994</v>
      </c>
      <c r="I164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164" s="258" t="b">
        <f>IF(E164="Grupo 2",IF(J164&lt;=0,0,IF(AND(J164&gt;0,J164&lt;0.25),0.25,IF(AND(J164&gt;=0.25,J164&lt;0.5),0.5,IF(AND(J164&gt;=0.5,J164&lt;0.75),0.75,IF(AND(J164&gt;=0.75,J164&lt;1),1,1))))))</f>
        <v>0</v>
      </c>
      <c r="K164" s="258" t="str">
        <f>IF(E164="Intermediário", MAX(0, MIN(1, (Tabela746[[#This Row],[TCC 2024 (N)]]-Tabela746[[#This Row],[Linha de Base 2024 (N) ]])/(Tabela746[[#This Row],[Meta 2024 (N)]]-Tabela746[[#This Row],[Linha de Base 2024 (N) ]]))), "FALSO")</f>
        <v>FALSO</v>
      </c>
      <c r="L164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64" s="259">
        <f>SUM(Tabela746[[#This Row],[ICM Atribuído - Grupo 1]:[ICM Atribuído - Grupo 4]])</f>
        <v>1</v>
      </c>
      <c r="N164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64" s="258">
        <f>IF(Tabela746[[#This Row],[APLICANDO FORMULA GRUPO 3 - ENQUADRAMENTO]]&lt;0,0,Tabela746[[#This Row],[APLICANDO FORMULA GRUPO 3 - ENQUADRAMENTO]])</f>
        <v>1</v>
      </c>
    </row>
    <row r="165" spans="1:15">
      <c r="A165" s="380">
        <v>202</v>
      </c>
      <c r="B165" s="408" t="s">
        <v>133</v>
      </c>
      <c r="C165" s="381">
        <v>0.49642857142857144</v>
      </c>
      <c r="D165" s="258">
        <f t="shared" si="6"/>
        <v>49.642857142857146</v>
      </c>
      <c r="E165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65" s="320">
        <v>67.171717171717177</v>
      </c>
      <c r="G165" s="383">
        <f>Tabela746[[#This Row],[Meta 2024 (N)]]*$E$6</f>
        <v>43.828719999999997</v>
      </c>
      <c r="H165" s="386">
        <v>67.428799999999995</v>
      </c>
      <c r="I165" s="258" t="b">
        <f>IF(E165="Grupo 1",IF(AND(D165&gt;=$C$1,D165&lt;F165),0.75,IF(AND(D165&gt;=F165,D165&lt;H165),1,IF(D165&gt;=H165,1))))</f>
        <v>0</v>
      </c>
      <c r="J165" s="258" t="b">
        <f>IF(E165="Grupo 2",IF(J165&lt;=0,0,IF(AND(J165&gt;0,J165&lt;0.25),0.25,IF(AND(J165&gt;=0.25,J165&lt;0.5),0.5,IF(AND(J165&gt;=0.5,J165&lt;0.75),0.75,IF(AND(J165&gt;=0.75,J165&lt;1),1,1))))))</f>
        <v>0</v>
      </c>
      <c r="K165" s="258">
        <f>IF(E165="Intermediário", MAX(0, MIN(1, (Tabela746[[#This Row],[TCC 2024 (N)]]-Tabela746[[#This Row],[Linha de Base 2024 (N) ]])/(Tabela746[[#This Row],[Meta 2024 (N)]]-Tabela746[[#This Row],[Linha de Base 2024 (N) ]]))), "FALSO")</f>
        <v>0.24636090821968185</v>
      </c>
      <c r="L165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65" s="259">
        <f>SUM(Tabela746[[#This Row],[ICM Atribuído - Grupo 1]:[ICM Atribuído - Grupo 4]])</f>
        <v>0.24636090821968185</v>
      </c>
      <c r="N165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0.25</v>
      </c>
      <c r="O165" s="258">
        <f>IF(Tabela746[[#This Row],[APLICANDO FORMULA GRUPO 3 - ENQUADRAMENTO]]&lt;0,0,Tabela746[[#This Row],[APLICANDO FORMULA GRUPO 3 - ENQUADRAMENTO]])</f>
        <v>0.25</v>
      </c>
    </row>
    <row r="166" spans="1:15">
      <c r="A166" s="385">
        <v>203</v>
      </c>
      <c r="B166" s="409" t="s">
        <v>63</v>
      </c>
      <c r="C166" s="381">
        <v>0.82317073170731703</v>
      </c>
      <c r="D166" s="258">
        <f t="shared" si="6"/>
        <v>82.317073170731703</v>
      </c>
      <c r="E166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166" s="320">
        <v>77.439024390243901</v>
      </c>
      <c r="G166" s="383">
        <f>Tabela746[[#This Row],[Meta 2024 (N)]]*$E$6</f>
        <v>51.299170000000004</v>
      </c>
      <c r="H166" s="386">
        <v>78.921800000000005</v>
      </c>
      <c r="I166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166" s="258" t="b">
        <f>IF(E166="Grupo 2",IF(J166&lt;=0,0,IF(AND(J166&gt;0,J166&lt;0.25),0.25,IF(AND(J166&gt;=0.25,J166&lt;0.5),0.5,IF(AND(J166&gt;=0.5,J166&lt;0.75),0.75,IF(AND(J166&gt;=0.75,J166&lt;1),1,1))))))</f>
        <v>0</v>
      </c>
      <c r="K166" s="258" t="str">
        <f>IF(E166="Intermediário", MAX(0, MIN(1, (Tabela746[[#This Row],[TCC 2024 (N)]]-Tabela746[[#This Row],[Linha de Base 2024 (N) ]])/(Tabela746[[#This Row],[Meta 2024 (N)]]-Tabela746[[#This Row],[Linha de Base 2024 (N) ]]))), "FALSO")</f>
        <v>FALSO</v>
      </c>
      <c r="L166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66" s="259">
        <f>SUM(Tabela746[[#This Row],[ICM Atribuído - Grupo 1]:[ICM Atribuído - Grupo 4]])</f>
        <v>1</v>
      </c>
      <c r="N166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66" s="258">
        <f>IF(Tabela746[[#This Row],[APLICANDO FORMULA GRUPO 3 - ENQUADRAMENTO]]&lt;0,0,Tabela746[[#This Row],[APLICANDO FORMULA GRUPO 3 - ENQUADRAMENTO]])</f>
        <v>1</v>
      </c>
    </row>
    <row r="167" spans="1:15">
      <c r="A167" s="380">
        <v>205</v>
      </c>
      <c r="B167" s="408" t="s">
        <v>169</v>
      </c>
      <c r="C167" s="381">
        <v>0.65126050420168069</v>
      </c>
      <c r="D167" s="258">
        <f t="shared" si="6"/>
        <v>65.12605042016807</v>
      </c>
      <c r="E167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67" s="320">
        <v>60.326086956521742</v>
      </c>
      <c r="G167" s="383">
        <f>Tabela746[[#This Row],[Meta 2024 (N)]]*$E$6</f>
        <v>39.783574999999999</v>
      </c>
      <c r="H167" s="386">
        <v>61.205500000000001</v>
      </c>
      <c r="I167" s="258" t="b">
        <f>IF(E167="Grupo 1",IF(AND(D167&gt;=$C$1,D167&lt;F167),0.75,IF(AND(D167&gt;=F167,D167&lt;H167),1,IF(D167&gt;=H167,1))))</f>
        <v>0</v>
      </c>
      <c r="J167" s="258" t="b">
        <f>IF(E167="Grupo 2",IF(J167&lt;=0,0,IF(AND(J167&gt;0,J167&lt;0.25),0.25,IF(AND(J167&gt;=0.25,J167&lt;0.5),0.5,IF(AND(J167&gt;=0.5,J167&lt;0.75),0.75,IF(AND(J167&gt;=0.75,J167&lt;1),1,1))))))</f>
        <v>0</v>
      </c>
      <c r="K167" s="258">
        <f>IF(E167="Intermediário", MAX(0, MIN(1, (Tabela746[[#This Row],[TCC 2024 (N)]]-Tabela746[[#This Row],[Linha de Base 2024 (N) ]])/(Tabela746[[#This Row],[Meta 2024 (N)]]-Tabela746[[#This Row],[Linha de Base 2024 (N) ]]))), "FALSO")</f>
        <v>1</v>
      </c>
      <c r="L167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67" s="259">
        <f>SUM(Tabela746[[#This Row],[ICM Atribuído - Grupo 1]:[ICM Atribuído - Grupo 4]])</f>
        <v>1</v>
      </c>
      <c r="N167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67" s="258">
        <f>IF(Tabela746[[#This Row],[APLICANDO FORMULA GRUPO 3 - ENQUADRAMENTO]]&lt;0,0,Tabela746[[#This Row],[APLICANDO FORMULA GRUPO 3 - ENQUADRAMENTO]])</f>
        <v>1</v>
      </c>
    </row>
    <row r="168" spans="1:15">
      <c r="A168" s="385">
        <v>206</v>
      </c>
      <c r="B168" s="409" t="s">
        <v>214</v>
      </c>
      <c r="C168" s="381">
        <v>0.72103004291845496</v>
      </c>
      <c r="D168" s="258">
        <f t="shared" si="6"/>
        <v>72.103004291845494</v>
      </c>
      <c r="E168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68" s="320">
        <v>66.569767441860463</v>
      </c>
      <c r="G168" s="383">
        <f>Tabela746[[#This Row],[Meta 2024 (N)]]*$E$6</f>
        <v>43.473040000000005</v>
      </c>
      <c r="H168" s="386">
        <v>66.881600000000006</v>
      </c>
      <c r="I168" s="258" t="b">
        <f>IF(E168="Grupo 1",IF(AND(D168&gt;=$C$1,D168&lt;F168),0.75,IF(AND(D168&gt;=F168,D168&lt;H168),1,IF(D168&gt;=H168,1))))</f>
        <v>0</v>
      </c>
      <c r="J168" s="258">
        <f>IF(E168="Excelência",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168" s="258" t="str">
        <f>IF(E168="Intermediário", MAX(0, MIN(1, (Tabela746[[#This Row],[TCC 2024 (N)]]-Tabela746[[#This Row],[Linha de Base 2024 (N) ]])/(Tabela746[[#This Row],[Meta 2024 (N)]]-Tabela746[[#This Row],[Linha de Base 2024 (N) ]]))), "FALSO")</f>
        <v>FALSO</v>
      </c>
      <c r="L168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68" s="259">
        <f>SUM(Tabela746[[#This Row],[ICM Atribuído - Grupo 1]:[ICM Atribuído - Grupo 4]])</f>
        <v>1</v>
      </c>
      <c r="N168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68" s="258">
        <f>IF(Tabela746[[#This Row],[APLICANDO FORMULA GRUPO 3 - ENQUADRAMENTO]]&lt;0,0,Tabela746[[#This Row],[APLICANDO FORMULA GRUPO 3 - ENQUADRAMENTO]])</f>
        <v>1</v>
      </c>
    </row>
    <row r="169" spans="1:15">
      <c r="A169" s="380">
        <v>207</v>
      </c>
      <c r="B169" s="408" t="s">
        <v>31</v>
      </c>
      <c r="C169" s="381">
        <v>0.70914261931187572</v>
      </c>
      <c r="D169" s="258">
        <f t="shared" si="6"/>
        <v>70.914261931187568</v>
      </c>
      <c r="E169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69" s="320">
        <v>75.238095238095241</v>
      </c>
      <c r="G169" s="383">
        <f>Tabela746[[#This Row],[Meta 2024 (N)]]*$E$6</f>
        <v>49.007010000000001</v>
      </c>
      <c r="H169" s="386">
        <v>75.395399999999995</v>
      </c>
      <c r="I169" s="258" t="b">
        <f>IF(E169="Grupo 1",IF(AND(D169&gt;=$C$1,D169&lt;F169),0.75,IF(AND(D169&gt;=F169,D169&lt;H169),1,IF(D169&gt;=H169,1))))</f>
        <v>0</v>
      </c>
      <c r="J169" s="258">
        <f>IF(E169="Excelência",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0.7</v>
      </c>
      <c r="K169" s="258" t="str">
        <f>IF(E169="Intermediário", MAX(0, MIN(1, (Tabela746[[#This Row],[TCC 2024 (N)]]-Tabela746[[#This Row],[Linha de Base 2024 (N) ]])/(Tabela746[[#This Row],[Meta 2024 (N)]]-Tabela746[[#This Row],[Linha de Base 2024 (N) ]]))), "FALSO")</f>
        <v>FALSO</v>
      </c>
      <c r="L169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69" s="259">
        <f>SUM(Tabela746[[#This Row],[ICM Atribuído - Grupo 1]:[ICM Atribuído - Grupo 4]])</f>
        <v>0.7</v>
      </c>
      <c r="N169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0.7</v>
      </c>
      <c r="O169" s="258">
        <f>IF(Tabela746[[#This Row],[APLICANDO FORMULA GRUPO 3 - ENQUADRAMENTO]]&lt;0,0,Tabela746[[#This Row],[APLICANDO FORMULA GRUPO 3 - ENQUADRAMENTO]])</f>
        <v>0.7</v>
      </c>
    </row>
    <row r="170" spans="1:15">
      <c r="A170" s="385">
        <v>208</v>
      </c>
      <c r="B170" s="409" t="s">
        <v>112</v>
      </c>
      <c r="C170" s="381">
        <v>0.69901376146788996</v>
      </c>
      <c r="D170" s="258">
        <f t="shared" si="6"/>
        <v>69.901376146788991</v>
      </c>
      <c r="E170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70" s="320">
        <v>72.754491017964071</v>
      </c>
      <c r="G170" s="383">
        <f>Tabela746[[#This Row],[Meta 2024 (N)]]*$E$6</f>
        <v>47.539440000000006</v>
      </c>
      <c r="H170" s="386">
        <v>73.137600000000006</v>
      </c>
      <c r="I170" s="258" t="b">
        <f>IF(E170="Grupo 1",IF(AND(D170&gt;=$C$1,D170&lt;F170),0.75,IF(AND(D170&gt;=F170,D170&lt;H170),1,IF(D170&gt;=H170,1))))</f>
        <v>0</v>
      </c>
      <c r="J170" s="258" t="b">
        <f>IF(E170="Grupo 2",IF(J170&lt;=0,0,IF(AND(J170&gt;0,J170&lt;0.25),0.25,IF(AND(J170&gt;=0.25,J170&lt;0.5),0.5,IF(AND(J170&gt;=0.5,J170&lt;0.75),0.75,IF(AND(J170&gt;=0.75,J170&lt;1),1,1))))))</f>
        <v>0</v>
      </c>
      <c r="K170" s="258">
        <f>IF(E170="Intermediário", MAX(0, MIN(1, (Tabela746[[#This Row],[TCC 2024 (N)]]-Tabela746[[#This Row],[Linha de Base 2024 (N) ]])/(Tabela746[[#This Row],[Meta 2024 (N)]]-Tabela746[[#This Row],[Linha de Base 2024 (N) ]]))), "FALSO")</f>
        <v>0.87357591900312304</v>
      </c>
      <c r="L170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70" s="259">
        <f>SUM(Tabela746[[#This Row],[ICM Atribuído - Grupo 1]:[ICM Atribuído - Grupo 4]])</f>
        <v>0.87357591900312304</v>
      </c>
      <c r="N170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70" s="258">
        <f>IF(Tabela746[[#This Row],[APLICANDO FORMULA GRUPO 3 - ENQUADRAMENTO]]&lt;0,0,Tabela746[[#This Row],[APLICANDO FORMULA GRUPO 3 - ENQUADRAMENTO]])</f>
        <v>1</v>
      </c>
    </row>
    <row r="171" spans="1:15">
      <c r="A171" s="380">
        <v>210</v>
      </c>
      <c r="B171" s="408" t="s">
        <v>13</v>
      </c>
      <c r="C171" s="381">
        <v>0.82685669456066946</v>
      </c>
      <c r="D171" s="258">
        <f t="shared" si="6"/>
        <v>82.685669456066947</v>
      </c>
      <c r="E171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171" s="320">
        <v>86.956521739130437</v>
      </c>
      <c r="G171" s="383">
        <f>Tabela746[[#This Row],[Meta 2024 (N)]]*$E$6</f>
        <v>56.923165000000004</v>
      </c>
      <c r="H171" s="386">
        <v>87.574100000000001</v>
      </c>
      <c r="I171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0.85</v>
      </c>
      <c r="J171" s="258" t="b">
        <f>IF(E171="Grupo 2",IF(J171&lt;=0,0,IF(AND(J171&gt;0,J171&lt;0.25),0.25,IF(AND(J171&gt;=0.25,J171&lt;0.5),0.5,IF(AND(J171&gt;=0.5,J171&lt;0.75),0.75,IF(AND(J171&gt;=0.75,J171&lt;1),1,1))))))</f>
        <v>0</v>
      </c>
      <c r="K171" s="258" t="str">
        <f>IF(E171="Intermediário", MAX(0, MIN(1, (Tabela746[[#This Row],[TCC 2024 (N)]]-Tabela746[[#This Row],[Linha de Base 2024 (N) ]])/(Tabela746[[#This Row],[Meta 2024 (N)]]-Tabela746[[#This Row],[Linha de Base 2024 (N) ]]))), "FALSO")</f>
        <v>FALSO</v>
      </c>
      <c r="L171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71" s="259">
        <f>SUM(Tabela746[[#This Row],[ICM Atribuído - Grupo 1]:[ICM Atribuído - Grupo 4]])</f>
        <v>0.85</v>
      </c>
      <c r="N171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0.85</v>
      </c>
      <c r="O171" s="258">
        <f>IF(Tabela746[[#This Row],[APLICANDO FORMULA GRUPO 3 - ENQUADRAMENTO]]&lt;0,0,Tabela746[[#This Row],[APLICANDO FORMULA GRUPO 3 - ENQUADRAMENTO]])</f>
        <v>0.85</v>
      </c>
    </row>
    <row r="172" spans="1:15">
      <c r="A172" s="385">
        <v>211</v>
      </c>
      <c r="B172" s="409" t="s">
        <v>76</v>
      </c>
      <c r="C172" s="381">
        <v>0.71724708976669427</v>
      </c>
      <c r="D172" s="258">
        <f t="shared" si="6"/>
        <v>71.724708976669433</v>
      </c>
      <c r="E172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72" s="320">
        <v>77.710843373493972</v>
      </c>
      <c r="G172" s="383">
        <f>Tabela746[[#This Row],[Meta 2024 (N)]]*$E$6</f>
        <v>51.459784999999997</v>
      </c>
      <c r="H172" s="386">
        <v>79.168899999999994</v>
      </c>
      <c r="I172" s="258" t="b">
        <f>IF(E172="Grupo 1",IF(AND(D172&gt;=$C$1,D172&lt;F172),0.75,IF(AND(D172&gt;=F172,D172&lt;H172),1,IF(D172&gt;=H172,1))))</f>
        <v>0</v>
      </c>
      <c r="J172" s="258">
        <f>IF(E172="Excelência",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0.7</v>
      </c>
      <c r="K172" s="258" t="str">
        <f>IF(E172="Intermediário", MAX(0, MIN(1, (Tabela746[[#This Row],[TCC 2024 (N)]]-Tabela746[[#This Row],[Linha de Base 2024 (N) ]])/(Tabela746[[#This Row],[Meta 2024 (N)]]-Tabela746[[#This Row],[Linha de Base 2024 (N) ]]))), "FALSO")</f>
        <v>FALSO</v>
      </c>
      <c r="L172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72" s="259">
        <f>SUM(Tabela746[[#This Row],[ICM Atribuído - Grupo 1]:[ICM Atribuído - Grupo 4]])</f>
        <v>0.7</v>
      </c>
      <c r="N172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0.7</v>
      </c>
      <c r="O172" s="258">
        <f>IF(Tabela746[[#This Row],[APLICANDO FORMULA GRUPO 3 - ENQUADRAMENTO]]&lt;0,0,Tabela746[[#This Row],[APLICANDO FORMULA GRUPO 3 - ENQUADRAMENTO]])</f>
        <v>0.7</v>
      </c>
    </row>
    <row r="173" spans="1:15">
      <c r="A173" s="380">
        <v>212</v>
      </c>
      <c r="B173" s="408" t="s">
        <v>15</v>
      </c>
      <c r="C173" s="381">
        <v>0.84062499999999996</v>
      </c>
      <c r="D173" s="258">
        <f t="shared" si="6"/>
        <v>84.0625</v>
      </c>
      <c r="E173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173" s="320">
        <v>77.391304347826079</v>
      </c>
      <c r="G173" s="383">
        <f>Tabela746[[#This Row],[Meta 2024 (N)]]*$E$6</f>
        <v>51.271025000000002</v>
      </c>
      <c r="H173" s="386">
        <v>78.878500000000003</v>
      </c>
      <c r="I173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173" s="258" t="b">
        <f>IF(E173="Grupo 2",IF(J173&lt;=0,0,IF(AND(J173&gt;0,J173&lt;0.25),0.25,IF(AND(J173&gt;=0.25,J173&lt;0.5),0.5,IF(AND(J173&gt;=0.5,J173&lt;0.75),0.75,IF(AND(J173&gt;=0.75,J173&lt;1),1,1))))))</f>
        <v>0</v>
      </c>
      <c r="K173" s="258" t="str">
        <f>IF(E173="Intermediário", MAX(0, MIN(1, (Tabela746[[#This Row],[TCC 2024 (N)]]-Tabela746[[#This Row],[Linha de Base 2024 (N) ]])/(Tabela746[[#This Row],[Meta 2024 (N)]]-Tabela746[[#This Row],[Linha de Base 2024 (N) ]]))), "FALSO")</f>
        <v>FALSO</v>
      </c>
      <c r="L173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73" s="259">
        <f>SUM(Tabela746[[#This Row],[ICM Atribuído - Grupo 1]:[ICM Atribuído - Grupo 4]])</f>
        <v>1</v>
      </c>
      <c r="N173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73" s="258">
        <f>IF(Tabela746[[#This Row],[APLICANDO FORMULA GRUPO 3 - ENQUADRAMENTO]]&lt;0,0,Tabela746[[#This Row],[APLICANDO FORMULA GRUPO 3 - ENQUADRAMENTO]])</f>
        <v>1</v>
      </c>
    </row>
    <row r="174" spans="1:15">
      <c r="A174" s="385">
        <v>213</v>
      </c>
      <c r="B174" s="409" t="s">
        <v>78</v>
      </c>
      <c r="C174" s="381">
        <v>0.72332069339111582</v>
      </c>
      <c r="D174" s="258">
        <f t="shared" si="6"/>
        <v>72.332069339111584</v>
      </c>
      <c r="E174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74" s="320">
        <v>66.666666666666657</v>
      </c>
      <c r="G174" s="383">
        <f>Tabela746[[#This Row],[Meta 2024 (N)]]*$E$6</f>
        <v>43.530305000000006</v>
      </c>
      <c r="H174" s="386">
        <v>66.969700000000003</v>
      </c>
      <c r="I174" s="258" t="b">
        <f>IF(E174="Grupo 1",IF(AND(D174&gt;=$C$1,D174&lt;F174),0.75,IF(AND(D174&gt;=F174,D174&lt;H174),1,IF(D174&gt;=H174,1))))</f>
        <v>0</v>
      </c>
      <c r="J174" s="258">
        <f>IF(E174="Excelência",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174" s="258" t="str">
        <f>IF(E174="Intermediário", MAX(0, MIN(1, (Tabela746[[#This Row],[TCC 2024 (N)]]-Tabela746[[#This Row],[Linha de Base 2024 (N) ]])/(Tabela746[[#This Row],[Meta 2024 (N)]]-Tabela746[[#This Row],[Linha de Base 2024 (N) ]]))), "FALSO")</f>
        <v>FALSO</v>
      </c>
      <c r="L174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74" s="259">
        <f>SUM(Tabela746[[#This Row],[ICM Atribuído - Grupo 1]:[ICM Atribuído - Grupo 4]])</f>
        <v>1</v>
      </c>
      <c r="N174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74" s="258">
        <f>IF(Tabela746[[#This Row],[APLICANDO FORMULA GRUPO 3 - ENQUADRAMENTO]]&lt;0,0,Tabela746[[#This Row],[APLICANDO FORMULA GRUPO 3 - ENQUADRAMENTO]])</f>
        <v>1</v>
      </c>
    </row>
    <row r="175" spans="1:15">
      <c r="A175" s="380">
        <v>214</v>
      </c>
      <c r="B175" s="408" t="s">
        <v>8</v>
      </c>
      <c r="C175" s="381">
        <v>0.68395001622849727</v>
      </c>
      <c r="D175" s="258">
        <f t="shared" si="6"/>
        <v>68.395001622849733</v>
      </c>
      <c r="E175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75" s="320">
        <v>81.388888888888886</v>
      </c>
      <c r="G175" s="383">
        <f>Tabela746[[#This Row],[Meta 2024 (N)]]*$E$6</f>
        <v>53.633190000000006</v>
      </c>
      <c r="H175" s="386">
        <v>82.512600000000006</v>
      </c>
      <c r="I175" s="258" t="b">
        <f>IF(E175="Grupo 1",IF(AND(D175&gt;=$C$1,D175&lt;F175),0.75,IF(AND(D175&gt;=F175,D175&lt;H175),1,IF(D175&gt;=H175,1))))</f>
        <v>0</v>
      </c>
      <c r="J175" s="258" t="b">
        <f>IF(E175="Grupo 2",IF(J175&lt;=0,0,IF(AND(J175&gt;0,J175&lt;0.25),0.25,IF(AND(J175&gt;=0.25,J175&lt;0.5),0.5,IF(AND(J175&gt;=0.5,J175&lt;0.75),0.75,IF(AND(J175&gt;=0.75,J175&lt;1),1,1))))))</f>
        <v>0</v>
      </c>
      <c r="K175" s="258">
        <f>IF(E175="Intermediário", MAX(0, MIN(1, (Tabela746[[#This Row],[TCC 2024 (N)]]-Tabela746[[#This Row],[Linha de Base 2024 (N) ]])/(Tabela746[[#This Row],[Meta 2024 (N)]]-Tabela746[[#This Row],[Linha de Base 2024 (N) ]]))), "FALSO")</f>
        <v>0.51115350427345041</v>
      </c>
      <c r="L175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75" s="259">
        <f>SUM(Tabela746[[#This Row],[ICM Atribuído - Grupo 1]:[ICM Atribuído - Grupo 4]])</f>
        <v>0.51115350427345041</v>
      </c>
      <c r="N175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0.75</v>
      </c>
      <c r="O175" s="258">
        <f>IF(Tabela746[[#This Row],[APLICANDO FORMULA GRUPO 3 - ENQUADRAMENTO]]&lt;0,0,Tabela746[[#This Row],[APLICANDO FORMULA GRUPO 3 - ENQUADRAMENTO]])</f>
        <v>0.75</v>
      </c>
    </row>
    <row r="176" spans="1:15">
      <c r="A176" s="385">
        <v>215</v>
      </c>
      <c r="B176" s="409" t="s">
        <v>104</v>
      </c>
      <c r="C176" s="381">
        <v>0.84789067142008312</v>
      </c>
      <c r="D176" s="258">
        <f t="shared" si="6"/>
        <v>84.789067142008307</v>
      </c>
      <c r="E176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176" s="320">
        <v>74</v>
      </c>
      <c r="G176" s="383">
        <f>Tabela746[[#This Row],[Meta 2024 (N)]]*$E$6</f>
        <v>48.275435000000009</v>
      </c>
      <c r="H176" s="386">
        <v>74.269900000000007</v>
      </c>
      <c r="I176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176" s="258" t="b">
        <f>IF(E176="Grupo 2",IF(J176&lt;=0,0,IF(AND(J176&gt;0,J176&lt;0.25),0.25,IF(AND(J176&gt;=0.25,J176&lt;0.5),0.5,IF(AND(J176&gt;=0.5,J176&lt;0.75),0.75,IF(AND(J176&gt;=0.75,J176&lt;1),1,1))))))</f>
        <v>0</v>
      </c>
      <c r="K176" s="258" t="str">
        <f>IF(E176="Intermediário", MAX(0, MIN(1, (Tabela746[[#This Row],[TCC 2024 (N)]]-Tabela746[[#This Row],[Linha de Base 2024 (N) ]])/(Tabela746[[#This Row],[Meta 2024 (N)]]-Tabela746[[#This Row],[Linha de Base 2024 (N) ]]))), "FALSO")</f>
        <v>FALSO</v>
      </c>
      <c r="L176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76" s="259">
        <f>SUM(Tabela746[[#This Row],[ICM Atribuído - Grupo 1]:[ICM Atribuído - Grupo 4]])</f>
        <v>1</v>
      </c>
      <c r="N176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76" s="258">
        <f>IF(Tabela746[[#This Row],[APLICANDO FORMULA GRUPO 3 - ENQUADRAMENTO]]&lt;0,0,Tabela746[[#This Row],[APLICANDO FORMULA GRUPO 3 - ENQUADRAMENTO]])</f>
        <v>1</v>
      </c>
    </row>
    <row r="177" spans="1:15">
      <c r="A177" s="380">
        <v>218</v>
      </c>
      <c r="B177" s="408" t="s">
        <v>192</v>
      </c>
      <c r="C177" s="381">
        <v>0.69560606060606056</v>
      </c>
      <c r="D177" s="258">
        <f t="shared" si="6"/>
        <v>69.560606060606062</v>
      </c>
      <c r="E177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77" s="320">
        <v>57.68261964735516</v>
      </c>
      <c r="G177" s="383">
        <f>Tabela746[[#This Row],[Meta 2024 (N)]]*$E$6</f>
        <v>38.221560000000004</v>
      </c>
      <c r="H177" s="386">
        <v>58.802399999999999</v>
      </c>
      <c r="I177" s="258" t="b">
        <f>IF(E177="Grupo 1",IF(AND(D177&gt;=$C$1,D177&lt;F177),0.75,IF(AND(D177&gt;=F177,D177&lt;H177),1,IF(D177&gt;=H177,1))))</f>
        <v>0</v>
      </c>
      <c r="J177" s="258" t="b">
        <f>IF(E177="Grupo 2",IF(J177&lt;=0,0,IF(AND(J177&gt;0,J177&lt;0.25),0.25,IF(AND(J177&gt;=0.25,J177&lt;0.5),0.5,IF(AND(J177&gt;=0.5,J177&lt;0.75),0.75,IF(AND(J177&gt;=0.75,J177&lt;1),1,1))))))</f>
        <v>0</v>
      </c>
      <c r="K177" s="258">
        <f>IF(E177="Intermediário", MAX(0, MIN(1, (Tabela746[[#This Row],[TCC 2024 (N)]]-Tabela746[[#This Row],[Linha de Base 2024 (N) ]])/(Tabela746[[#This Row],[Meta 2024 (N)]]-Tabela746[[#This Row],[Linha de Base 2024 (N) ]]))), "FALSO")</f>
        <v>1</v>
      </c>
      <c r="L177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77" s="259">
        <f>SUM(Tabela746[[#This Row],[ICM Atribuído - Grupo 1]:[ICM Atribuído - Grupo 4]])</f>
        <v>1</v>
      </c>
      <c r="N177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77" s="258">
        <f>IF(Tabela746[[#This Row],[APLICANDO FORMULA GRUPO 3 - ENQUADRAMENTO]]&lt;0,0,Tabela746[[#This Row],[APLICANDO FORMULA GRUPO 3 - ENQUADRAMENTO]])</f>
        <v>1</v>
      </c>
    </row>
    <row r="178" spans="1:15">
      <c r="A178" s="385">
        <v>219</v>
      </c>
      <c r="B178" s="409" t="s">
        <v>80</v>
      </c>
      <c r="C178" s="381">
        <v>0.7782642089093702</v>
      </c>
      <c r="D178" s="258">
        <f t="shared" si="6"/>
        <v>77.826420890937015</v>
      </c>
      <c r="E178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178" s="320">
        <v>77.073170731707322</v>
      </c>
      <c r="G178" s="383">
        <f>Tabela746[[#This Row],[Meta 2024 (N)]]*$E$6</f>
        <v>51.082980000000006</v>
      </c>
      <c r="H178" s="386">
        <v>78.589200000000005</v>
      </c>
      <c r="I178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178" s="258" t="b">
        <f>IF(E178="Excelência",
   IF(Tabela746[[#This Row],[TCC 2024 (N)]]&gt;=Tabela746[[#This Row],[TCC 2023(n)]],1,
      IF(Tabela746[[#This Row],[TCC 2024 (N)]]&gt;=C172,0.95,
         IF(AND(Tabela746[[#This Row],[TCC 2024 (N)]]&lt;Tabela746[[#This Row],[TCC 2024]], Tabela746[[#This Row],[TCC 2024 (N)]]&gt;E171),0.85,
            IF(AND(Tabela746[[#This Row],[TCC 2024 (N)]]&lt;E171, Tabela746[[#This Row],[TCC 2024 (N)]]&gt;=C171),0.8, FALSE)
         )
      )
   )
)</f>
        <v>0</v>
      </c>
      <c r="K178" s="258" t="str">
        <f>IF(E178="Intermediário", MAX(0, MIN(1, (Tabela746[[#This Row],[TCC 2024 (N)]]-Tabela746[[#This Row],[Linha de Base 2024 (N) ]])/(Tabela746[[#This Row],[Meta 2024 (N)]]-Tabela746[[#This Row],[Linha de Base 2024 (N) ]]))), "FALSO")</f>
        <v>FALSO</v>
      </c>
      <c r="L178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78" s="259">
        <f>SUM(Tabela746[[#This Row],[ICM Atribuído - Grupo 1]:[ICM Atribuído - Grupo 4]])</f>
        <v>1</v>
      </c>
      <c r="N178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78" s="258">
        <f>IF(Tabela746[[#This Row],[APLICANDO FORMULA GRUPO 3 - ENQUADRAMENTO]]&lt;0,0,Tabela746[[#This Row],[APLICANDO FORMULA GRUPO 3 - ENQUADRAMENTO]])</f>
        <v>1</v>
      </c>
    </row>
    <row r="179" spans="1:15">
      <c r="A179" s="380">
        <v>220</v>
      </c>
      <c r="B179" s="408" t="s">
        <v>50</v>
      </c>
      <c r="C179" s="381">
        <v>0.7739583333333333</v>
      </c>
      <c r="D179" s="258">
        <f t="shared" si="6"/>
        <v>77.395833333333329</v>
      </c>
      <c r="E179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179" s="320">
        <v>76.677316293929707</v>
      </c>
      <c r="G179" s="383">
        <f>Tabela746[[#This Row],[Meta 2024 (N)]]*$E$6</f>
        <v>49.857469999999999</v>
      </c>
      <c r="H179" s="386">
        <v>76.703800000000001</v>
      </c>
      <c r="I179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179" s="258" t="b">
        <f>IF(E179="Excelência",
   IF(Tabela746[[#This Row],[TCC 2024 (N)]]&gt;=Tabela746[[#This Row],[TCC 2023(n)]],1,
      IF(Tabela746[[#This Row],[TCC 2024 (N)]]&gt;=C173,0.95,
         IF(AND(Tabela746[[#This Row],[TCC 2024 (N)]]&lt;Tabela746[[#This Row],[TCC 2024]], Tabela746[[#This Row],[TCC 2024 (N)]]&gt;E172),0.85,
            IF(AND(Tabela746[[#This Row],[TCC 2024 (N)]]&lt;E172, Tabela746[[#This Row],[TCC 2024 (N)]]&gt;=C172),0.8, FALSE)
         )
      )
   )
)</f>
        <v>0</v>
      </c>
      <c r="K179" s="258" t="str">
        <f>IF(E179="Intermediário", MAX(0, MIN(1, (Tabela746[[#This Row],[TCC 2024 (N)]]-Tabela746[[#This Row],[Linha de Base 2024 (N) ]])/(Tabela746[[#This Row],[Meta 2024 (N)]]-Tabela746[[#This Row],[Linha de Base 2024 (N) ]]))), "FALSO")</f>
        <v>FALSO</v>
      </c>
      <c r="L179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79" s="259">
        <f>SUM(Tabela746[[#This Row],[ICM Atribuído - Grupo 1]:[ICM Atribuído - Grupo 4]])</f>
        <v>1</v>
      </c>
      <c r="N179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79" s="258">
        <f>IF(Tabela746[[#This Row],[APLICANDO FORMULA GRUPO 3 - ENQUADRAMENTO]]&lt;0,0,Tabela746[[#This Row],[APLICANDO FORMULA GRUPO 3 - ENQUADRAMENTO]])</f>
        <v>1</v>
      </c>
    </row>
    <row r="180" spans="1:15">
      <c r="A180" s="385">
        <v>221</v>
      </c>
      <c r="B180" s="409" t="s">
        <v>91</v>
      </c>
      <c r="C180" s="381">
        <v>0.72420149842271297</v>
      </c>
      <c r="D180" s="258">
        <f t="shared" si="6"/>
        <v>72.4201498422713</v>
      </c>
      <c r="E180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80" s="320">
        <v>78.768577494692153</v>
      </c>
      <c r="G180" s="383">
        <f>Tabela746[[#This Row],[Meta 2024 (N)]]*$E$6</f>
        <v>52.084825000000002</v>
      </c>
      <c r="H180" s="386">
        <v>80.130499999999998</v>
      </c>
      <c r="I180" s="258" t="b">
        <f>IF(E180="Grupo 1",IF(AND(D180&gt;=$C$1,D180&lt;F180),0.75,IF(AND(D180&gt;=F180,D180&lt;H180),1,IF(D180&gt;=H180,1))))</f>
        <v>0</v>
      </c>
      <c r="J180" s="258">
        <f>IF(E180="Excelência",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0.85</v>
      </c>
      <c r="K180" s="258" t="str">
        <f>IF(E180="Intermediário", MAX(0, MIN(1, (Tabela746[[#This Row],[TCC 2024 (N)]]-Tabela746[[#This Row],[Linha de Base 2024 (N) ]])/(Tabela746[[#This Row],[Meta 2024 (N)]]-Tabela746[[#This Row],[Linha de Base 2024 (N) ]]))), "FALSO")</f>
        <v>FALSO</v>
      </c>
      <c r="L180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80" s="259">
        <f>SUM(Tabela746[[#This Row],[ICM Atribuído - Grupo 1]:[ICM Atribuído - Grupo 4]])</f>
        <v>0.85</v>
      </c>
      <c r="N180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0.85</v>
      </c>
      <c r="O180" s="258">
        <f>IF(Tabela746[[#This Row],[APLICANDO FORMULA GRUPO 3 - ENQUADRAMENTO]]&lt;0,0,Tabela746[[#This Row],[APLICANDO FORMULA GRUPO 3 - ENQUADRAMENTO]])</f>
        <v>0.85</v>
      </c>
    </row>
    <row r="181" spans="1:15">
      <c r="A181" s="380">
        <v>222</v>
      </c>
      <c r="B181" s="408" t="s">
        <v>46</v>
      </c>
      <c r="C181" s="381">
        <v>0.78933054393305435</v>
      </c>
      <c r="D181" s="258">
        <f t="shared" si="6"/>
        <v>78.93305439330544</v>
      </c>
      <c r="E181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181" s="320">
        <v>83.576642335766422</v>
      </c>
      <c r="G181" s="383">
        <f>Tabela746[[#This Row],[Meta 2024 (N)]]*$E$6</f>
        <v>54.925974999999994</v>
      </c>
      <c r="H181" s="386">
        <v>84.501499999999993</v>
      </c>
      <c r="I181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0.8</v>
      </c>
      <c r="J181" s="258" t="b">
        <f>IF(E181="Excelência",
   IF(Tabela746[[#This Row],[TCC 2024 (N)]]&gt;=Tabela746[[#This Row],[TCC 2023(n)]],1,
      IF(Tabela746[[#This Row],[TCC 2024 (N)]]&gt;=C175,0.95,
         IF(AND(Tabela746[[#This Row],[TCC 2024 (N)]]&lt;Tabela746[[#This Row],[TCC 2024]], Tabela746[[#This Row],[TCC 2024 (N)]]&gt;E174),0.85,
            IF(AND(Tabela746[[#This Row],[TCC 2024 (N)]]&lt;E174, Tabela746[[#This Row],[TCC 2024 (N)]]&gt;=C174),0.8, FALSE)
         )
      )
   )
)</f>
        <v>0</v>
      </c>
      <c r="K181" s="258" t="str">
        <f>IF(E181="Intermediário", MAX(0, MIN(1, (Tabela746[[#This Row],[TCC 2024 (N)]]-Tabela746[[#This Row],[Linha de Base 2024 (N) ]])/(Tabela746[[#This Row],[Meta 2024 (N)]]-Tabela746[[#This Row],[Linha de Base 2024 (N) ]]))), "FALSO")</f>
        <v>FALSO</v>
      </c>
      <c r="L181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81" s="259">
        <f>SUM(Tabela746[[#This Row],[ICM Atribuído - Grupo 1]:[ICM Atribuído - Grupo 4]])</f>
        <v>0.8</v>
      </c>
      <c r="N181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0.8</v>
      </c>
      <c r="O181" s="258">
        <f>IF(Tabela746[[#This Row],[APLICANDO FORMULA GRUPO 3 - ENQUADRAMENTO]]&lt;0,0,Tabela746[[#This Row],[APLICANDO FORMULA GRUPO 3 - ENQUADRAMENTO]])</f>
        <v>0.8</v>
      </c>
    </row>
    <row r="182" spans="1:15">
      <c r="A182" s="385">
        <v>223</v>
      </c>
      <c r="B182" s="409" t="s">
        <v>54</v>
      </c>
      <c r="C182" s="381">
        <v>0.76870748299319724</v>
      </c>
      <c r="D182" s="258">
        <f t="shared" si="6"/>
        <v>76.870748299319729</v>
      </c>
      <c r="E182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182" s="320">
        <v>66.086956521739125</v>
      </c>
      <c r="G182" s="383">
        <f>Tabela746[[#This Row],[Meta 2024 (N)]]*$E$6</f>
        <v>43.187755000000003</v>
      </c>
      <c r="H182" s="386">
        <v>66.442700000000002</v>
      </c>
      <c r="I182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182" s="258" t="b">
        <f>IF(E182="Excelência",
   IF(Tabela746[[#This Row],[TCC 2024 (N)]]&gt;=Tabela746[[#This Row],[TCC 2023(n)]],1,
      IF(Tabela746[[#This Row],[TCC 2024 (N)]]&gt;=C176,0.9,
         IF(AND(Tabela746[[#This Row],[TCC 2024 (N)]]&lt;C176, Tabela746[[#This Row],[TCC 2024 (N)]]&gt;C179),0.85,
            IF(AND(Tabela746[[#This Row],[TCC 2024 (N)]]&lt;C179, Tabela746[[#This Row],[TCC 2024 (N)]]&gt;=C178),0.8,
              IF(AND(Tabela746[[#This Row],[TCC 2024 (N)]]&lt;C178, Tabela746[[#This Row],[TCC 2024 (N)]]&gt;=C172),0.7, FALSE))))) )</f>
        <v>0</v>
      </c>
      <c r="K182" s="258" t="str">
        <f>IF(E182="Intermediário", MAX(0, MIN(1, (Tabela746[[#This Row],[TCC 2024 (N)]]-Tabela746[[#This Row],[Linha de Base 2024 (N) ]])/(Tabela746[[#This Row],[Meta 2024 (N)]]-Tabela746[[#This Row],[Linha de Base 2024 (N) ]]))), "FALSO")</f>
        <v>FALSO</v>
      </c>
      <c r="L182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82" s="259">
        <f>SUM(Tabela746[[#This Row],[ICM Atribuído - Grupo 1]:[ICM Atribuído - Grupo 4]])</f>
        <v>1</v>
      </c>
      <c r="N182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82" s="258">
        <f>IF(Tabela746[[#This Row],[APLICANDO FORMULA GRUPO 3 - ENQUADRAMENTO]]&lt;0,0,Tabela746[[#This Row],[APLICANDO FORMULA GRUPO 3 - ENQUADRAMENTO]])</f>
        <v>1</v>
      </c>
    </row>
    <row r="183" spans="1:15">
      <c r="A183" s="380">
        <v>224</v>
      </c>
      <c r="B183" s="408" t="s">
        <v>165</v>
      </c>
      <c r="C183" s="381">
        <v>0.72515527950310554</v>
      </c>
      <c r="D183" s="258">
        <f t="shared" si="6"/>
        <v>72.515527950310556</v>
      </c>
      <c r="E183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83" s="320">
        <v>71.126760563380287</v>
      </c>
      <c r="G183" s="383">
        <f>Tabela746[[#This Row],[Meta 2024 (N)]]*$E$6</f>
        <v>46.577570000000001</v>
      </c>
      <c r="H183" s="386">
        <v>71.657799999999995</v>
      </c>
      <c r="I183" s="258" t="b">
        <f>IF(E183="Grupo 1",IF(AND(D183&gt;=$C$1,D183&lt;F183),0.75,IF(AND(D183&gt;=F183,D183&lt;H183),1,IF(D183&gt;=H183,1))))</f>
        <v>0</v>
      </c>
      <c r="J183" s="258">
        <f>IF(E183="Excelência",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183" s="258" t="str">
        <f>IF(E183="Intermediário", MAX(0, MIN(1, (Tabela746[[#This Row],[TCC 2024 (N)]]-Tabela746[[#This Row],[Linha de Base 2024 (N) ]])/(Tabela746[[#This Row],[Meta 2024 (N)]]-Tabela746[[#This Row],[Linha de Base 2024 (N) ]]))), "FALSO")</f>
        <v>FALSO</v>
      </c>
      <c r="L183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83" s="259">
        <f>SUM(Tabela746[[#This Row],[ICM Atribuído - Grupo 1]:[ICM Atribuído - Grupo 4]])</f>
        <v>1</v>
      </c>
      <c r="N183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83" s="258">
        <f>IF(Tabela746[[#This Row],[APLICANDO FORMULA GRUPO 3 - ENQUADRAMENTO]]&lt;0,0,Tabela746[[#This Row],[APLICANDO FORMULA GRUPO 3 - ENQUADRAMENTO]])</f>
        <v>1</v>
      </c>
    </row>
    <row r="184" spans="1:15">
      <c r="A184" s="385">
        <v>225</v>
      </c>
      <c r="B184" s="409" t="s">
        <v>117</v>
      </c>
      <c r="C184" s="381">
        <v>0.69385593220338981</v>
      </c>
      <c r="D184" s="258">
        <f t="shared" si="6"/>
        <v>69.385593220338976</v>
      </c>
      <c r="E184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84" s="320">
        <v>66.763848396501459</v>
      </c>
      <c r="G184" s="383">
        <f>Tabela746[[#This Row],[Meta 2024 (N)]]*$E$6</f>
        <v>43.587700000000005</v>
      </c>
      <c r="H184" s="386">
        <v>67.058000000000007</v>
      </c>
      <c r="I184" s="258" t="b">
        <f>IF(E184="Grupo 1",IF(AND(D184&gt;=$C$1,D184&lt;F184),0.75,IF(AND(D184&gt;=F184,D184&lt;H184),1,IF(D184&gt;=H184,1))))</f>
        <v>0</v>
      </c>
      <c r="J184" s="258" t="b">
        <f>IF(E184="Grupo 2",IF(J184&lt;=0,0,IF(AND(J184&gt;0,J184&lt;0.25),0.25,IF(AND(J184&gt;=0.25,J184&lt;0.5),0.5,IF(AND(J184&gt;=0.5,J184&lt;0.75),0.75,IF(AND(J184&gt;=0.75,J184&lt;1),1,1))))))</f>
        <v>0</v>
      </c>
      <c r="K184" s="258">
        <f>IF(E184="Intermediário", MAX(0, MIN(1, (Tabela746[[#This Row],[TCC 2024 (N)]]-Tabela746[[#This Row],[Linha de Base 2024 (N) ]])/(Tabela746[[#This Row],[Meta 2024 (N)]]-Tabela746[[#This Row],[Linha de Base 2024 (N) ]]))), "FALSO")</f>
        <v>1</v>
      </c>
      <c r="L184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84" s="259">
        <f>SUM(Tabela746[[#This Row],[ICM Atribuído - Grupo 1]:[ICM Atribuído - Grupo 4]])</f>
        <v>1</v>
      </c>
      <c r="N184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84" s="258">
        <f>IF(Tabela746[[#This Row],[APLICANDO FORMULA GRUPO 3 - ENQUADRAMENTO]]&lt;0,0,Tabela746[[#This Row],[APLICANDO FORMULA GRUPO 3 - ENQUADRAMENTO]])</f>
        <v>1</v>
      </c>
    </row>
    <row r="185" spans="1:15">
      <c r="A185" s="380">
        <v>226</v>
      </c>
      <c r="B185" s="408" t="s">
        <v>209</v>
      </c>
      <c r="C185" s="381">
        <v>0.64825258737063152</v>
      </c>
      <c r="D185" s="258">
        <f t="shared" si="6"/>
        <v>64.825258737063152</v>
      </c>
      <c r="E185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85" s="320">
        <v>62.52587991718427</v>
      </c>
      <c r="G185" s="383">
        <f>Tabela746[[#This Row],[Meta 2024 (N)]]*$E$6</f>
        <v>41.083445000000005</v>
      </c>
      <c r="H185" s="386">
        <v>63.205300000000001</v>
      </c>
      <c r="I185" s="258" t="b">
        <f>IF(E185="Grupo 1",IF(AND(D185&gt;=$C$1,D185&lt;F185),0.75,IF(AND(D185&gt;=F185,D185&lt;H185),1,IF(D185&gt;=H185,1))))</f>
        <v>0</v>
      </c>
      <c r="J185" s="258" t="b">
        <f>IF(E185="Grupo 2",IF(J185&lt;=0,0,IF(AND(J185&gt;0,J185&lt;0.25),0.25,IF(AND(J185&gt;=0.25,J185&lt;0.5),0.5,IF(AND(J185&gt;=0.5,J185&lt;0.75),0.75,IF(AND(J185&gt;=0.75,J185&lt;1),1,1))))))</f>
        <v>0</v>
      </c>
      <c r="K185" s="258">
        <f>IF(E185="Intermediário", MAX(0, MIN(1, (Tabela746[[#This Row],[TCC 2024 (N)]]-Tabela746[[#This Row],[Linha de Base 2024 (N) ]])/(Tabela746[[#This Row],[Meta 2024 (N)]]-Tabela746[[#This Row],[Linha de Base 2024 (N) ]]))), "FALSO")</f>
        <v>1</v>
      </c>
      <c r="L185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85" s="259">
        <f>SUM(Tabela746[[#This Row],[ICM Atribuído - Grupo 1]:[ICM Atribuído - Grupo 4]])</f>
        <v>1</v>
      </c>
      <c r="N185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85" s="258">
        <f>IF(Tabela746[[#This Row],[APLICANDO FORMULA GRUPO 3 - ENQUADRAMENTO]]&lt;0,0,Tabela746[[#This Row],[APLICANDO FORMULA GRUPO 3 - ENQUADRAMENTO]])</f>
        <v>1</v>
      </c>
    </row>
    <row r="186" spans="1:15">
      <c r="A186" s="385">
        <v>227</v>
      </c>
      <c r="B186" s="409" t="s">
        <v>30</v>
      </c>
      <c r="C186" s="381">
        <v>0.73918575063613234</v>
      </c>
      <c r="D186" s="258">
        <f t="shared" si="6"/>
        <v>73.918575063613233</v>
      </c>
      <c r="E186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86" s="320">
        <v>77.367205542725173</v>
      </c>
      <c r="G186" s="390">
        <f>Tabela746[[#This Row],[Meta 2024 (N)]]*$E$6</f>
        <v>51.256790000000002</v>
      </c>
      <c r="H186" s="391">
        <v>78.8566</v>
      </c>
      <c r="I186" s="392" t="b">
        <f>IF(E186="Grupo 1",IF(AND(D186&gt;=$C$1,D186&lt;F186),0.75,IF(AND(D186&gt;=F186,D186&lt;H186),1,IF(D186&gt;=H186,1))))</f>
        <v>0</v>
      </c>
      <c r="J186" s="392">
        <f>IF(E186="Excelência",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0.9</v>
      </c>
      <c r="K186" s="258" t="str">
        <f>IF(E186="Intermediário", MAX(0, MIN(1, (Tabela746[[#This Row],[TCC 2024 (N)]]-Tabela746[[#This Row],[Linha de Base 2024 (N) ]])/(Tabela746[[#This Row],[Meta 2024 (N)]]-Tabela746[[#This Row],[Linha de Base 2024 (N) ]]))), "FALSO")</f>
        <v>FALSO</v>
      </c>
      <c r="L186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86" s="259">
        <f>SUM(Tabela746[[#This Row],[ICM Atribuído - Grupo 1]:[ICM Atribuído - Grupo 4]])</f>
        <v>0.9</v>
      </c>
      <c r="N186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0.9</v>
      </c>
      <c r="O186" s="258">
        <f>IF(Tabela746[[#This Row],[APLICANDO FORMULA GRUPO 3 - ENQUADRAMENTO]]&lt;0,0,Tabela746[[#This Row],[APLICANDO FORMULA GRUPO 3 - ENQUADRAMENTO]])</f>
        <v>0.9</v>
      </c>
    </row>
    <row r="187" spans="1:15">
      <c r="A187" s="380">
        <v>228</v>
      </c>
      <c r="B187" s="408" t="s">
        <v>47</v>
      </c>
      <c r="C187" s="381">
        <v>0.80707286432160807</v>
      </c>
      <c r="D187" s="258">
        <f t="shared" si="6"/>
        <v>80.707286432160814</v>
      </c>
      <c r="E187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187" s="393">
        <v>79.2</v>
      </c>
      <c r="G187" s="394">
        <f>Tabela746[[#This Row],[Meta 2024 (N)]]*$E$6</f>
        <v>52.339755000000004</v>
      </c>
      <c r="H187" s="395">
        <v>80.5227</v>
      </c>
      <c r="I187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187" s="258" t="b">
        <f>IF(E187="Excelência",
   IF(Tabela746[[#This Row],[TCC 2024 (N)]]&gt;=Tabela746[[#This Row],[TCC 2023(n)]],1,
      IF(Tabela746[[#This Row],[TCC 2024 (N)]]&gt;=C181,0.95,
         IF(AND(Tabela746[[#This Row],[TCC 2024 (N)]]&lt;Tabela746[[#This Row],[TCC 2024]], Tabela746[[#This Row],[TCC 2024 (N)]]&gt;E180),0.85,
            IF(AND(Tabela746[[#This Row],[TCC 2024 (N)]]&lt;E180, Tabela746[[#This Row],[TCC 2024 (N)]]&gt;=C180),0.8, FALSE)
         )
      )
   )
)</f>
        <v>0</v>
      </c>
      <c r="K187" s="258" t="str">
        <f>IF(E187="Intermediário", MAX(0, MIN(1, (Tabela746[[#This Row],[TCC 2024 (N)]]-Tabela746[[#This Row],[Linha de Base 2024 (N) ]])/(Tabela746[[#This Row],[Meta 2024 (N)]]-Tabela746[[#This Row],[Linha de Base 2024 (N) ]]))), "FALSO")</f>
        <v>FALSO</v>
      </c>
      <c r="L187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87" s="259">
        <f>SUM(Tabela746[[#This Row],[ICM Atribuído - Grupo 1]:[ICM Atribuído - Grupo 4]])</f>
        <v>1</v>
      </c>
      <c r="N187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87" s="258">
        <f>IF(Tabela746[[#This Row],[APLICANDO FORMULA GRUPO 3 - ENQUADRAMENTO]]&lt;0,0,Tabela746[[#This Row],[APLICANDO FORMULA GRUPO 3 - ENQUADRAMENTO]])</f>
        <v>1</v>
      </c>
    </row>
    <row r="188" spans="1:15">
      <c r="A188" s="385">
        <v>229</v>
      </c>
      <c r="B188" s="409" t="s">
        <v>151</v>
      </c>
      <c r="C188" s="381">
        <v>0.70704705130934631</v>
      </c>
      <c r="D188" s="258">
        <f t="shared" si="6"/>
        <v>70.704705130934627</v>
      </c>
      <c r="E188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88" s="393">
        <v>65.813953488372093</v>
      </c>
      <c r="G188" s="394">
        <f>Tabela746[[#This Row],[Meta 2024 (N)]]*$E$6</f>
        <v>43.026425000000003</v>
      </c>
      <c r="H188" s="395">
        <v>66.194500000000005</v>
      </c>
      <c r="I188" s="258" t="b">
        <f>IF(E188="Grupo 1",IF(AND(D188&gt;=$C$1,D188&lt;F188),0.75,IF(AND(D188&gt;=F188,D188&lt;H188),1,IF(D188&gt;=H188,1))))</f>
        <v>0</v>
      </c>
      <c r="J188" s="258">
        <f>IF(E188="Excelência",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188" s="258" t="str">
        <f>IF(E188="Intermediário", MAX(0, MIN(1, (Tabela746[[#This Row],[TCC 2024 (N)]]-Tabela746[[#This Row],[Linha de Base 2024 (N) ]])/(Tabela746[[#This Row],[Meta 2024 (N)]]-Tabela746[[#This Row],[Linha de Base 2024 (N) ]]))), "FALSO")</f>
        <v>FALSO</v>
      </c>
      <c r="L188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88" s="259">
        <f>SUM(Tabela746[[#This Row],[ICM Atribuído - Grupo 1]:[ICM Atribuído - Grupo 4]])</f>
        <v>1</v>
      </c>
      <c r="N188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88" s="258">
        <f>IF(Tabela746[[#This Row],[APLICANDO FORMULA GRUPO 3 - ENQUADRAMENTO]]&lt;0,0,Tabela746[[#This Row],[APLICANDO FORMULA GRUPO 3 - ENQUADRAMENTO]])</f>
        <v>1</v>
      </c>
    </row>
    <row r="189" spans="1:15">
      <c r="A189" s="380">
        <v>230</v>
      </c>
      <c r="B189" s="408" t="s">
        <v>141</v>
      </c>
      <c r="C189" s="381">
        <v>0.70571428571428574</v>
      </c>
      <c r="D189" s="258">
        <f t="shared" si="6"/>
        <v>70.571428571428569</v>
      </c>
      <c r="E189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89" s="393">
        <v>72.978723404255319</v>
      </c>
      <c r="G189" s="394">
        <f>Tabela746[[#This Row],[Meta 2024 (N)]]*$E$6</f>
        <v>47.671909999999997</v>
      </c>
      <c r="H189" s="395">
        <v>73.341399999999993</v>
      </c>
      <c r="I189" s="258" t="b">
        <f>IF(E189="Grupo 1",IF(AND(D189&gt;=$C$1,D189&lt;F189),0.75,IF(AND(D189&gt;=F189,D189&lt;H189),1,IF(D189&gt;=H189,1))))</f>
        <v>0</v>
      </c>
      <c r="J189" s="258">
        <f>IF(E189="Excelência",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0.7</v>
      </c>
      <c r="K189" s="258" t="str">
        <f>IF(E189="Intermediário", MAX(0, MIN(1, (Tabela746[[#This Row],[TCC 2024 (N)]]-Tabela746[[#This Row],[Linha de Base 2024 (N) ]])/(Tabela746[[#This Row],[Meta 2024 (N)]]-Tabela746[[#This Row],[Linha de Base 2024 (N) ]]))), "FALSO")</f>
        <v>FALSO</v>
      </c>
      <c r="L189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89" s="259">
        <f>SUM(Tabela746[[#This Row],[ICM Atribuído - Grupo 1]:[ICM Atribuído - Grupo 4]])</f>
        <v>0.7</v>
      </c>
      <c r="N189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0.7</v>
      </c>
      <c r="O189" s="258">
        <f>IF(Tabela746[[#This Row],[APLICANDO FORMULA GRUPO 3 - ENQUADRAMENTO]]&lt;0,0,Tabela746[[#This Row],[APLICANDO FORMULA GRUPO 3 - ENQUADRAMENTO]])</f>
        <v>0.7</v>
      </c>
    </row>
    <row r="190" spans="1:15">
      <c r="A190" s="385">
        <v>231</v>
      </c>
      <c r="B190" s="409" t="s">
        <v>41</v>
      </c>
      <c r="C190" s="381">
        <v>0.89927652733118968</v>
      </c>
      <c r="D190" s="258">
        <f t="shared" si="6"/>
        <v>89.927652733118961</v>
      </c>
      <c r="E190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190" s="393">
        <v>91.242937853107335</v>
      </c>
      <c r="G190" s="394">
        <f>Tabela746[[#This Row],[Meta 2024 (N)]]*$E$6</f>
        <v>59.456085000000002</v>
      </c>
      <c r="H190" s="395">
        <v>91.4709</v>
      </c>
      <c r="I190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0.95</v>
      </c>
      <c r="J190" s="258" t="b">
        <f>IF(E190="Grupo 2",IF(J190&lt;=0,0,IF(AND(J190&gt;0,J190&lt;0.25),0.25,IF(AND(J190&gt;=0.25,J190&lt;0.5),0.5,IF(AND(J190&gt;=0.5,J190&lt;0.75),0.75,IF(AND(J190&gt;=0.75,J190&lt;1),1,1))))))</f>
        <v>0</v>
      </c>
      <c r="K190" s="258" t="str">
        <f>IF(E190="Intermediário", MAX(0, MIN(1, (Tabela746[[#This Row],[TCC 2024 (N)]]-Tabela746[[#This Row],[Linha de Base 2024 (N) ]])/(Tabela746[[#This Row],[Meta 2024 (N)]]-Tabela746[[#This Row],[Linha de Base 2024 (N) ]]))), "FALSO")</f>
        <v>FALSO</v>
      </c>
      <c r="L190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90" s="259">
        <f>SUM(Tabela746[[#This Row],[ICM Atribuído - Grupo 1]:[ICM Atribuído - Grupo 4]])</f>
        <v>0.95</v>
      </c>
      <c r="N190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0.95</v>
      </c>
      <c r="O190" s="258">
        <f>IF(Tabela746[[#This Row],[APLICANDO FORMULA GRUPO 3 - ENQUADRAMENTO]]&lt;0,0,Tabela746[[#This Row],[APLICANDO FORMULA GRUPO 3 - ENQUADRAMENTO]])</f>
        <v>0.95</v>
      </c>
    </row>
    <row r="191" spans="1:15">
      <c r="A191" s="380">
        <v>232</v>
      </c>
      <c r="B191" s="408" t="s">
        <v>107</v>
      </c>
      <c r="C191" s="381">
        <v>0.65922490652861665</v>
      </c>
      <c r="D191" s="258">
        <f t="shared" si="6"/>
        <v>65.922490652861669</v>
      </c>
      <c r="E191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91" s="393">
        <v>86.434108527131784</v>
      </c>
      <c r="G191" s="394">
        <f>Tabela746[[#This Row],[Meta 2024 (N)]]*$E$6</f>
        <v>56.61448</v>
      </c>
      <c r="H191" s="395">
        <v>87.099199999999996</v>
      </c>
      <c r="I191" s="258" t="b">
        <f>IF(E191="Grupo 1",IF(AND(D191&gt;=$C$1,D191&lt;F191),0.75,IF(AND(D191&gt;=F191,D191&lt;H191),1,IF(D191&gt;=H191,1))))</f>
        <v>0</v>
      </c>
      <c r="J191" s="258" t="b">
        <f>IF(E191="Grupo 2",IF(J191&lt;=0,0,IF(AND(J191&gt;0,J191&lt;0.25),0.25,IF(AND(J191&gt;=0.25,J191&lt;0.5),0.5,IF(AND(J191&gt;=0.5,J191&lt;0.75),0.75,IF(AND(J191&gt;=0.75,J191&lt;1),1,1))))))</f>
        <v>0</v>
      </c>
      <c r="K191" s="258">
        <f>IF(E191="Intermediário", MAX(0, MIN(1, (Tabela746[[#This Row],[TCC 2024 (N)]]-Tabela746[[#This Row],[Linha de Base 2024 (N) ]])/(Tabela746[[#This Row],[Meta 2024 (N)]]-Tabela746[[#This Row],[Linha de Base 2024 (N) ]]))), "FALSO")</f>
        <v>0.30533364429332693</v>
      </c>
      <c r="L191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91" s="259">
        <f>SUM(Tabela746[[#This Row],[ICM Atribuído - Grupo 1]:[ICM Atribuído - Grupo 4]])</f>
        <v>0.30533364429332693</v>
      </c>
      <c r="N191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0.5</v>
      </c>
      <c r="O191" s="258">
        <f>IF(Tabela746[[#This Row],[APLICANDO FORMULA GRUPO 3 - ENQUADRAMENTO]]&lt;0,0,Tabela746[[#This Row],[APLICANDO FORMULA GRUPO 3 - ENQUADRAMENTO]])</f>
        <v>0.5</v>
      </c>
    </row>
    <row r="192" spans="1:15">
      <c r="A192" s="385">
        <v>233</v>
      </c>
      <c r="B192" s="409" t="s">
        <v>21</v>
      </c>
      <c r="C192" s="381">
        <v>0.7888213716699396</v>
      </c>
      <c r="D192" s="258">
        <f t="shared" si="6"/>
        <v>78.882137166993957</v>
      </c>
      <c r="E192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192" s="393">
        <v>73.754152823920265</v>
      </c>
      <c r="G192" s="394">
        <f>Tabela746[[#This Row],[Meta 2024 (N)]]*$E$6</f>
        <v>48.130160000000004</v>
      </c>
      <c r="H192" s="395">
        <v>74.046400000000006</v>
      </c>
      <c r="I192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192" s="258" t="b">
        <f>IF(E192="Excelência",
   IF(Tabela746[[#This Row],[TCC 2024 (N)]]&gt;=Tabela746[[#This Row],[TCC 2023(n)]],1,
      IF(Tabela746[[#This Row],[TCC 2024 (N)]]&gt;=C186,0.95,
         IF(AND(Tabela746[[#This Row],[TCC 2024 (N)]]&lt;Tabela746[[#This Row],[TCC 2024]], Tabela746[[#This Row],[TCC 2024 (N)]]&gt;E185),0.85,
            IF(AND(Tabela746[[#This Row],[TCC 2024 (N)]]&lt;E185, Tabela746[[#This Row],[TCC 2024 (N)]]&gt;=C185),0.8, FALSE)
         )
      )
   )
)</f>
        <v>0</v>
      </c>
      <c r="K192" s="258" t="str">
        <f>IF(E192="Intermediário", MAX(0, MIN(1, (Tabela746[[#This Row],[TCC 2024 (N)]]-Tabela746[[#This Row],[Linha de Base 2024 (N) ]])/(Tabela746[[#This Row],[Meta 2024 (N)]]-Tabela746[[#This Row],[Linha de Base 2024 (N) ]]))), "FALSO")</f>
        <v>FALSO</v>
      </c>
      <c r="L192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92" s="259">
        <f>SUM(Tabela746[[#This Row],[ICM Atribuído - Grupo 1]:[ICM Atribuído - Grupo 4]])</f>
        <v>1</v>
      </c>
      <c r="N192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92" s="258">
        <f>IF(Tabela746[[#This Row],[APLICANDO FORMULA GRUPO 3 - ENQUADRAMENTO]]&lt;0,0,Tabela746[[#This Row],[APLICANDO FORMULA GRUPO 3 - ENQUADRAMENTO]])</f>
        <v>1</v>
      </c>
    </row>
    <row r="193" spans="1:15">
      <c r="A193" s="380">
        <v>234</v>
      </c>
      <c r="B193" s="408" t="s">
        <v>170</v>
      </c>
      <c r="C193" s="381">
        <v>0.68611847922192748</v>
      </c>
      <c r="D193" s="258">
        <f t="shared" si="6"/>
        <v>68.611847922192752</v>
      </c>
      <c r="E193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93" s="393">
        <v>65.65096952908587</v>
      </c>
      <c r="G193" s="394">
        <f>Tabela746[[#This Row],[Meta 2024 (N)]]*$E$6</f>
        <v>42.930095000000001</v>
      </c>
      <c r="H193" s="395">
        <v>66.046300000000002</v>
      </c>
      <c r="I193" s="258" t="b">
        <f>IF(E193="Grupo 1",IF(AND(D193&gt;=$C$1,D193&lt;F193),0.75,IF(AND(D193&gt;=F193,D193&lt;H193),1,IF(D193&gt;=H193,1))))</f>
        <v>0</v>
      </c>
      <c r="J193" s="258" t="b">
        <f>IF(E193="Grupo 2",IF(J193&lt;=0,0,IF(AND(J193&gt;0,J193&lt;0.25),0.25,IF(AND(J193&gt;=0.25,J193&lt;0.5),0.5,IF(AND(J193&gt;=0.5,J193&lt;0.75),0.75,IF(AND(J193&gt;=0.75,J193&lt;1),1,1))))))</f>
        <v>0</v>
      </c>
      <c r="K193" s="258">
        <f>IF(E193="Intermediário", MAX(0, MIN(1, (Tabela746[[#This Row],[TCC 2024 (N)]]-Tabela746[[#This Row],[Linha de Base 2024 (N) ]])/(Tabela746[[#This Row],[Meta 2024 (N)]]-Tabela746[[#This Row],[Linha de Base 2024 (N) ]]))), "FALSO")</f>
        <v>1</v>
      </c>
      <c r="L193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93" s="259">
        <f>SUM(Tabela746[[#This Row],[ICM Atribuído - Grupo 1]:[ICM Atribuído - Grupo 4]])</f>
        <v>1</v>
      </c>
      <c r="N193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93" s="258">
        <f>IF(Tabela746[[#This Row],[APLICANDO FORMULA GRUPO 3 - ENQUADRAMENTO]]&lt;0,0,Tabela746[[#This Row],[APLICANDO FORMULA GRUPO 3 - ENQUADRAMENTO]])</f>
        <v>1</v>
      </c>
    </row>
    <row r="194" spans="1:15">
      <c r="A194" s="385">
        <v>235</v>
      </c>
      <c r="B194" s="409" t="s">
        <v>177</v>
      </c>
      <c r="C194" s="381">
        <v>0.77095238095238094</v>
      </c>
      <c r="D194" s="258">
        <f t="shared" si="6"/>
        <v>77.095238095238088</v>
      </c>
      <c r="E194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194" s="393">
        <v>77.777777777777786</v>
      </c>
      <c r="G194" s="394">
        <f>Tabela746[[#This Row],[Meta 2024 (N)]]*$E$6</f>
        <v>51.499369999999999</v>
      </c>
      <c r="H194" s="395">
        <v>79.229799999999997</v>
      </c>
      <c r="I194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0.8</v>
      </c>
      <c r="J194" s="258" t="b">
        <f>IF(E194="Excelência",
   IF(Tabela746[[#This Row],[TCC 2024 (N)]]&gt;=Tabela746[[#This Row],[TCC 2023(n)]],1,
      IF(Tabela746[[#This Row],[TCC 2024 (N)]]&gt;=C188,0.95,
         IF(AND(Tabela746[[#This Row],[TCC 2024 (N)]]&lt;Tabela746[[#This Row],[TCC 2024]], Tabela746[[#This Row],[TCC 2024 (N)]]&gt;E187),0.85,
            IF(AND(Tabela746[[#This Row],[TCC 2024 (N)]]&lt;E187, Tabela746[[#This Row],[TCC 2024 (N)]]&gt;=C187),0.8, FALSE)
         )
      )
   )
)</f>
        <v>0</v>
      </c>
      <c r="K194" s="258" t="str">
        <f>IF(E194="Intermediário", MAX(0, MIN(1, (Tabela746[[#This Row],[TCC 2024 (N)]]-Tabela746[[#This Row],[Linha de Base 2024 (N) ]])/(Tabela746[[#This Row],[Meta 2024 (N)]]-Tabela746[[#This Row],[Linha de Base 2024 (N) ]]))), "FALSO")</f>
        <v>FALSO</v>
      </c>
      <c r="L194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94" s="259">
        <f>SUM(Tabela746[[#This Row],[ICM Atribuído - Grupo 1]:[ICM Atribuído - Grupo 4]])</f>
        <v>0.8</v>
      </c>
      <c r="N194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0.8</v>
      </c>
      <c r="O194" s="258">
        <f>IF(Tabela746[[#This Row],[APLICANDO FORMULA GRUPO 3 - ENQUADRAMENTO]]&lt;0,0,Tabela746[[#This Row],[APLICANDO FORMULA GRUPO 3 - ENQUADRAMENTO]])</f>
        <v>0.8</v>
      </c>
    </row>
    <row r="195" spans="1:15">
      <c r="A195" s="380">
        <v>236</v>
      </c>
      <c r="B195" s="408" t="s">
        <v>44</v>
      </c>
      <c r="C195" s="381">
        <v>0.56559405940594054</v>
      </c>
      <c r="D195" s="258">
        <f t="shared" si="6"/>
        <v>56.559405940594054</v>
      </c>
      <c r="E195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95" s="393">
        <v>73.387096774193552</v>
      </c>
      <c r="G195" s="394">
        <f>Tabela746[[#This Row],[Meta 2024 (N)]]*$E$6</f>
        <v>47.913254999999999</v>
      </c>
      <c r="H195" s="395">
        <v>73.712699999999998</v>
      </c>
      <c r="I195" s="258" t="b">
        <f>IF(E195="Grupo 1",IF(AND(D195&gt;=$C$1,D195&lt;F195),0.75,IF(AND(D195&gt;=F195,D195&lt;H195),1,IF(D195&gt;=H195,1))))</f>
        <v>0</v>
      </c>
      <c r="J195" s="258" t="b">
        <f>IF(E195="Grupo 2",IF(J195&lt;=0,0,IF(AND(J195&gt;0,J195&lt;0.25),0.25,IF(AND(J195&gt;=0.25,J195&lt;0.5),0.5,IF(AND(J195&gt;=0.5,J195&lt;0.75),0.75,IF(AND(J195&gt;=0.75,J195&lt;1),1,1))))))</f>
        <v>0</v>
      </c>
      <c r="K195" s="258">
        <f>IF(E195="Intermediário", MAX(0, MIN(1, (Tabela746[[#This Row],[TCC 2024 (N)]]-Tabela746[[#This Row],[Linha de Base 2024 (N) ]])/(Tabela746[[#This Row],[Meta 2024 (N)]]-Tabela746[[#This Row],[Linha de Base 2024 (N) ]]))), "FALSO")</f>
        <v>0.33512933865802363</v>
      </c>
      <c r="L195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95" s="259">
        <f>SUM(Tabela746[[#This Row],[ICM Atribuído - Grupo 1]:[ICM Atribuído - Grupo 4]])</f>
        <v>0.33512933865802363</v>
      </c>
      <c r="N195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0.5</v>
      </c>
      <c r="O195" s="258">
        <f>IF(Tabela746[[#This Row],[APLICANDO FORMULA GRUPO 3 - ENQUADRAMENTO]]&lt;0,0,Tabela746[[#This Row],[APLICANDO FORMULA GRUPO 3 - ENQUADRAMENTO]])</f>
        <v>0.5</v>
      </c>
    </row>
    <row r="196" spans="1:15">
      <c r="A196" s="385">
        <v>237</v>
      </c>
      <c r="B196" s="409" t="s">
        <v>109</v>
      </c>
      <c r="C196" s="381">
        <v>0.73750000000000004</v>
      </c>
      <c r="D196" s="258">
        <f t="shared" si="6"/>
        <v>73.75</v>
      </c>
      <c r="E196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196" s="393">
        <v>70.5</v>
      </c>
      <c r="G196" s="394">
        <f>Tabela746[[#This Row],[Meta 2024 (N)]]*$E$6</f>
        <v>46.2072</v>
      </c>
      <c r="H196" s="395">
        <v>71.087999999999994</v>
      </c>
      <c r="I196" s="258" t="b">
        <f>IF(E196="Grupo 1",IF(AND(D196&gt;=$C$1,D196&lt;F196),0.75,IF(AND(D196&gt;=F196,D196&lt;H196),1,IF(D196&gt;=H196,1))))</f>
        <v>0</v>
      </c>
      <c r="J196" s="258">
        <f>IF(E196="Excelência",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196" s="258" t="str">
        <f>IF(E196="Intermediário", MAX(0, MIN(1, (Tabela746[[#This Row],[TCC 2024 (N)]]-Tabela746[[#This Row],[Linha de Base 2024 (N) ]])/(Tabela746[[#This Row],[Meta 2024 (N)]]-Tabela746[[#This Row],[Linha de Base 2024 (N) ]]))), "FALSO")</f>
        <v>FALSO</v>
      </c>
      <c r="L196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96" s="259">
        <f>SUM(Tabela746[[#This Row],[ICM Atribuído - Grupo 1]:[ICM Atribuído - Grupo 4]])</f>
        <v>1</v>
      </c>
      <c r="N196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96" s="258">
        <f>IF(Tabela746[[#This Row],[APLICANDO FORMULA GRUPO 3 - ENQUADRAMENTO]]&lt;0,0,Tabela746[[#This Row],[APLICANDO FORMULA GRUPO 3 - ENQUADRAMENTO]])</f>
        <v>1</v>
      </c>
    </row>
    <row r="197" spans="1:15">
      <c r="A197" s="380">
        <v>238</v>
      </c>
      <c r="B197" s="408" t="s">
        <v>6</v>
      </c>
      <c r="C197" s="381">
        <v>0.79256272401433692</v>
      </c>
      <c r="D197" s="258">
        <f t="shared" si="6"/>
        <v>79.256272401433691</v>
      </c>
      <c r="E197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197" s="393">
        <v>80.681818181818173</v>
      </c>
      <c r="G197" s="394">
        <f>Tabela746[[#This Row],[Meta 2024 (N)]]*$E$6</f>
        <v>53.21537</v>
      </c>
      <c r="H197" s="395">
        <v>81.869799999999998</v>
      </c>
      <c r="I197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0.8</v>
      </c>
      <c r="J197" s="258" t="b">
        <f>IF(E197="Excelência",
   IF(Tabela746[[#This Row],[TCC 2024 (N)]]&gt;=Tabela746[[#This Row],[TCC 2023(n)]],1,
      IF(Tabela746[[#This Row],[TCC 2024 (N)]]&gt;=C191,0.95,
         IF(AND(Tabela746[[#This Row],[TCC 2024 (N)]]&lt;Tabela746[[#This Row],[TCC 2024]], Tabela746[[#This Row],[TCC 2024 (N)]]&gt;E190),0.85,
            IF(AND(Tabela746[[#This Row],[TCC 2024 (N)]]&lt;E190, Tabela746[[#This Row],[TCC 2024 (N)]]&gt;=C190),0.8, FALSE)
         )
      )
   )
)</f>
        <v>0</v>
      </c>
      <c r="K197" s="258" t="str">
        <f>IF(E197="Intermediário", MAX(0, MIN(1, (Tabela746[[#This Row],[TCC 2024 (N)]]-Tabela746[[#This Row],[Linha de Base 2024 (N) ]])/(Tabela746[[#This Row],[Meta 2024 (N)]]-Tabela746[[#This Row],[Linha de Base 2024 (N) ]]))), "FALSO")</f>
        <v>FALSO</v>
      </c>
      <c r="L197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97" s="259">
        <f>SUM(Tabela746[[#This Row],[ICM Atribuído - Grupo 1]:[ICM Atribuído - Grupo 4]])</f>
        <v>0.8</v>
      </c>
      <c r="N197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0.8</v>
      </c>
      <c r="O197" s="258">
        <f>IF(Tabela746[[#This Row],[APLICANDO FORMULA GRUPO 3 - ENQUADRAMENTO]]&lt;0,0,Tabela746[[#This Row],[APLICANDO FORMULA GRUPO 3 - ENQUADRAMENTO]])</f>
        <v>0.8</v>
      </c>
    </row>
    <row r="198" spans="1:15">
      <c r="A198" s="385">
        <v>239</v>
      </c>
      <c r="B198" s="409" t="s">
        <v>14</v>
      </c>
      <c r="C198" s="381">
        <v>0.61558752997601918</v>
      </c>
      <c r="D198" s="258">
        <f t="shared" si="6"/>
        <v>61.558752997601914</v>
      </c>
      <c r="E198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98" s="393">
        <v>81.25</v>
      </c>
      <c r="G198" s="394">
        <f>Tabela746[[#This Row],[Meta 2024 (N)]]*$E$6</f>
        <v>53.551159999999996</v>
      </c>
      <c r="H198" s="395">
        <v>82.386399999999995</v>
      </c>
      <c r="I198" s="258" t="b">
        <f t="shared" ref="I198:I207" si="8">IF(E198="Grupo 1",IF(AND(D198&gt;=$C$1,D198&lt;F198),0.75,IF(AND(D198&gt;=F198,D198&lt;H198),1,IF(D198&gt;=H198,1))))</f>
        <v>0</v>
      </c>
      <c r="J198" s="258" t="b">
        <f>IF(E198="Grupo 2",IF(J198&lt;=0,0,IF(AND(J198&gt;0,J198&lt;0.25),0.25,IF(AND(J198&gt;=0.25,J198&lt;0.5),0.5,IF(AND(J198&gt;=0.5,J198&lt;0.75),0.75,IF(AND(J198&gt;=0.75,J198&lt;1),1,1))))))</f>
        <v>0</v>
      </c>
      <c r="K198" s="258">
        <f>IF(E198="Intermediário", MAX(0, MIN(1, (Tabela746[[#This Row],[TCC 2024 (N)]]-Tabela746[[#This Row],[Linha de Base 2024 (N) ]])/(Tabela746[[#This Row],[Meta 2024 (N)]]-Tabela746[[#This Row],[Linha de Base 2024 (N) ]]))), "FALSO")</f>
        <v>0.27770162473424598</v>
      </c>
      <c r="L198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98" s="259">
        <f>SUM(Tabela746[[#This Row],[ICM Atribuído - Grupo 1]:[ICM Atribuído - Grupo 4]])</f>
        <v>0.27770162473424598</v>
      </c>
      <c r="N198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0.5</v>
      </c>
      <c r="O198" s="258">
        <f>IF(Tabela746[[#This Row],[APLICANDO FORMULA GRUPO 3 - ENQUADRAMENTO]]&lt;0,0,Tabela746[[#This Row],[APLICANDO FORMULA GRUPO 3 - ENQUADRAMENTO]])</f>
        <v>0.5</v>
      </c>
    </row>
    <row r="199" spans="1:15">
      <c r="A199" s="380">
        <v>240</v>
      </c>
      <c r="B199" s="408" t="s">
        <v>164</v>
      </c>
      <c r="C199" s="381">
        <v>0.63835592325294843</v>
      </c>
      <c r="D199" s="258">
        <f t="shared" si="6"/>
        <v>63.83559232529484</v>
      </c>
      <c r="E199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199" s="393">
        <v>59.215686274509807</v>
      </c>
      <c r="G199" s="394">
        <f>Tabela746[[#This Row],[Meta 2024 (N)]]*$E$6</f>
        <v>39.127465000000001</v>
      </c>
      <c r="H199" s="395">
        <v>60.196100000000001</v>
      </c>
      <c r="I199" s="258" t="b">
        <f t="shared" si="8"/>
        <v>0</v>
      </c>
      <c r="J199" s="258" t="b">
        <f>IF(E199="Grupo 2",IF(J199&lt;=0,0,IF(AND(J199&gt;0,J199&lt;0.25),0.25,IF(AND(J199&gt;=0.25,J199&lt;0.5),0.5,IF(AND(J199&gt;=0.5,J199&lt;0.75),0.75,IF(AND(J199&gt;=0.75,J199&lt;1),1,1))))))</f>
        <v>0</v>
      </c>
      <c r="K199" s="258">
        <f>IF(E199="Intermediário", MAX(0, MIN(1, (Tabela746[[#This Row],[TCC 2024 (N)]]-Tabela746[[#This Row],[Linha de Base 2024 (N) ]])/(Tabela746[[#This Row],[Meta 2024 (N)]]-Tabela746[[#This Row],[Linha de Base 2024 (N) ]]))), "FALSO")</f>
        <v>1</v>
      </c>
      <c r="L199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199" s="259">
        <f>SUM(Tabela746[[#This Row],[ICM Atribuído - Grupo 1]:[ICM Atribuído - Grupo 4]])</f>
        <v>1</v>
      </c>
      <c r="N199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199" s="258">
        <f>IF(Tabela746[[#This Row],[APLICANDO FORMULA GRUPO 3 - ENQUADRAMENTO]]&lt;0,0,Tabela746[[#This Row],[APLICANDO FORMULA GRUPO 3 - ENQUADRAMENTO]])</f>
        <v>1</v>
      </c>
    </row>
    <row r="200" spans="1:15">
      <c r="A200" s="385">
        <v>241</v>
      </c>
      <c r="B200" s="409" t="s">
        <v>68</v>
      </c>
      <c r="C200" s="381">
        <v>0.64900426742532002</v>
      </c>
      <c r="D200" s="258">
        <f t="shared" si="6"/>
        <v>64.900426742532005</v>
      </c>
      <c r="E200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200" s="393">
        <v>69.637462235649551</v>
      </c>
      <c r="G200" s="394">
        <f>Tabela746[[#This Row],[Meta 2024 (N)]]*$E$6</f>
        <v>45.285760000000003</v>
      </c>
      <c r="H200" s="395">
        <v>69.670400000000001</v>
      </c>
      <c r="I200" s="258" t="b">
        <f t="shared" si="8"/>
        <v>0</v>
      </c>
      <c r="J200" s="258" t="b">
        <f>IF(E200="Grupo 2",IF(J200&lt;=0,0,IF(AND(J200&gt;0,J200&lt;0.25),0.25,IF(AND(J200&gt;=0.25,J200&lt;0.5),0.5,IF(AND(J200&gt;=0.5,J200&lt;0.75),0.75,IF(AND(J200&gt;=0.75,J200&lt;1),1,1))))))</f>
        <v>0</v>
      </c>
      <c r="K200" s="258">
        <f>IF(E200="Intermediário", MAX(0, MIN(1, (Tabela746[[#This Row],[TCC 2024 (N)]]-Tabela746[[#This Row],[Linha de Base 2024 (N) ]])/(Tabela746[[#This Row],[Meta 2024 (N)]]-Tabela746[[#This Row],[Linha de Base 2024 (N) ]]))), "FALSO")</f>
        <v>0.80438615220614307</v>
      </c>
      <c r="L200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00" s="259">
        <f>SUM(Tabela746[[#This Row],[ICM Atribuído - Grupo 1]:[ICM Atribuído - Grupo 4]])</f>
        <v>0.80438615220614307</v>
      </c>
      <c r="N200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200" s="258">
        <f>IF(Tabela746[[#This Row],[APLICANDO FORMULA GRUPO 3 - ENQUADRAMENTO]]&lt;0,0,Tabela746[[#This Row],[APLICANDO FORMULA GRUPO 3 - ENQUADRAMENTO]])</f>
        <v>1</v>
      </c>
    </row>
    <row r="201" spans="1:15">
      <c r="A201" s="380">
        <v>242</v>
      </c>
      <c r="B201" s="408" t="s">
        <v>142</v>
      </c>
      <c r="C201" s="381">
        <v>0.69392948018902212</v>
      </c>
      <c r="D201" s="258">
        <f t="shared" si="6"/>
        <v>69.392948018902217</v>
      </c>
      <c r="E201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201" s="393">
        <v>64.948453608247419</v>
      </c>
      <c r="G201" s="394">
        <f>Tabela746[[#This Row],[Meta 2024 (N)]]*$E$6</f>
        <v>42.515005000000002</v>
      </c>
      <c r="H201" s="395">
        <v>65.407700000000006</v>
      </c>
      <c r="I201" s="258" t="b">
        <f t="shared" si="8"/>
        <v>0</v>
      </c>
      <c r="J201" s="258" t="b">
        <f>IF(E201="Grupo 2",IF(J201&lt;=0,0,IF(AND(J201&gt;0,J201&lt;0.25),0.25,IF(AND(J201&gt;=0.25,J201&lt;0.5),0.5,IF(AND(J201&gt;=0.5,J201&lt;0.75),0.75,IF(AND(J201&gt;=0.75,J201&lt;1),1,1))))))</f>
        <v>0</v>
      </c>
      <c r="K201" s="258">
        <f>IF(E201="Intermediário", MAX(0, MIN(1, (Tabela746[[#This Row],[TCC 2024 (N)]]-Tabela746[[#This Row],[Linha de Base 2024 (N) ]])/(Tabela746[[#This Row],[Meta 2024 (N)]]-Tabela746[[#This Row],[Linha de Base 2024 (N) ]]))), "FALSO")</f>
        <v>1</v>
      </c>
      <c r="L201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01" s="259">
        <f>SUM(Tabela746[[#This Row],[ICM Atribuído - Grupo 1]:[ICM Atribuído - Grupo 4]])</f>
        <v>1</v>
      </c>
      <c r="N201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201" s="258">
        <f>IF(Tabela746[[#This Row],[APLICANDO FORMULA GRUPO 3 - ENQUADRAMENTO]]&lt;0,0,Tabela746[[#This Row],[APLICANDO FORMULA GRUPO 3 - ENQUADRAMENTO]])</f>
        <v>1</v>
      </c>
    </row>
    <row r="202" spans="1:15">
      <c r="A202" s="385">
        <v>243</v>
      </c>
      <c r="B202" s="409" t="s">
        <v>59</v>
      </c>
      <c r="C202" s="381">
        <v>0.60051369863013693</v>
      </c>
      <c r="D202" s="258">
        <f t="shared" si="6"/>
        <v>60.05136986301369</v>
      </c>
      <c r="E202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202" s="393">
        <v>75</v>
      </c>
      <c r="G202" s="394">
        <f>Tabela746[[#This Row],[Meta 2024 (N)]]*$E$6</f>
        <v>48.866350000000004</v>
      </c>
      <c r="H202" s="395">
        <v>75.179000000000002</v>
      </c>
      <c r="I202" s="258" t="b">
        <f t="shared" si="8"/>
        <v>0</v>
      </c>
      <c r="J202" s="258" t="b">
        <f>IF(E202="Grupo 2",IF(J202&lt;=0,0,IF(AND(J202&gt;0,J202&lt;0.25),0.25,IF(AND(J202&gt;=0.25,J202&lt;0.5),0.5,IF(AND(J202&gt;=0.5,J202&lt;0.75),0.75,IF(AND(J202&gt;=0.75,J202&lt;1),1,1))))))</f>
        <v>0</v>
      </c>
      <c r="K202" s="258">
        <f>IF(E202="Intermediário", MAX(0, MIN(1, (Tabela746[[#This Row],[TCC 2024 (N)]]-Tabela746[[#This Row],[Linha de Base 2024 (N) ]])/(Tabela746[[#This Row],[Meta 2024 (N)]]-Tabela746[[#This Row],[Linha de Base 2024 (N) ]]))), "FALSO")</f>
        <v>0.42508146701353483</v>
      </c>
      <c r="L202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02" s="259">
        <f>SUM(Tabela746[[#This Row],[ICM Atribuído - Grupo 1]:[ICM Atribuído - Grupo 4]])</f>
        <v>0.42508146701353483</v>
      </c>
      <c r="N202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0.5</v>
      </c>
      <c r="O202" s="258">
        <f>IF(Tabela746[[#This Row],[APLICANDO FORMULA GRUPO 3 - ENQUADRAMENTO]]&lt;0,0,Tabela746[[#This Row],[APLICANDO FORMULA GRUPO 3 - ENQUADRAMENTO]])</f>
        <v>0.5</v>
      </c>
    </row>
    <row r="203" spans="1:15">
      <c r="A203" s="380">
        <v>244</v>
      </c>
      <c r="B203" s="408" t="s">
        <v>194</v>
      </c>
      <c r="C203" s="381">
        <v>0.75</v>
      </c>
      <c r="D203" s="258">
        <f t="shared" ref="D203:D234" si="9">C203*100</f>
        <v>75</v>
      </c>
      <c r="E203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203" s="393">
        <v>74.257425742574256</v>
      </c>
      <c r="G203" s="394">
        <f>Tabela746[[#This Row],[Meta 2024 (N)]]*$E$6</f>
        <v>48.427535000000006</v>
      </c>
      <c r="H203" s="395">
        <v>74.503900000000002</v>
      </c>
      <c r="I203" s="258" t="b">
        <f t="shared" si="8"/>
        <v>0</v>
      </c>
      <c r="J203" s="258">
        <f>IF(E203="Excelência",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203" s="258" t="str">
        <f>IF(E203="Intermediário", MAX(0, MIN(1, (Tabela746[[#This Row],[TCC 2024 (N)]]-Tabela746[[#This Row],[Linha de Base 2024 (N) ]])/(Tabela746[[#This Row],[Meta 2024 (N)]]-Tabela746[[#This Row],[Linha de Base 2024 (N) ]]))), "FALSO")</f>
        <v>FALSO</v>
      </c>
      <c r="L203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03" s="259">
        <f>SUM(Tabela746[[#This Row],[ICM Atribuído - Grupo 1]:[ICM Atribuído - Grupo 4]])</f>
        <v>1</v>
      </c>
      <c r="N203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203" s="258">
        <f>IF(Tabela746[[#This Row],[APLICANDO FORMULA GRUPO 3 - ENQUADRAMENTO]]&lt;0,0,Tabela746[[#This Row],[APLICANDO FORMULA GRUPO 3 - ENQUADRAMENTO]])</f>
        <v>1</v>
      </c>
    </row>
    <row r="204" spans="1:15">
      <c r="A204" s="385">
        <v>245</v>
      </c>
      <c r="B204" s="409" t="s">
        <v>48</v>
      </c>
      <c r="C204" s="381">
        <v>0.73321825853471423</v>
      </c>
      <c r="D204" s="258">
        <f t="shared" si="9"/>
        <v>73.321825853471424</v>
      </c>
      <c r="E204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204" s="393">
        <v>69.913419913419915</v>
      </c>
      <c r="G204" s="394">
        <f>Tabela746[[#This Row],[Meta 2024 (N)]]*$E$6</f>
        <v>45.448845000000006</v>
      </c>
      <c r="H204" s="395">
        <v>69.921300000000002</v>
      </c>
      <c r="I204" s="258" t="b">
        <f t="shared" si="8"/>
        <v>0</v>
      </c>
      <c r="J204" s="258">
        <f>IF(E204="Excelência",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204" s="258" t="str">
        <f>IF(E204="Intermediário", MAX(0, MIN(1, (Tabela746[[#This Row],[TCC 2024 (N)]]-Tabela746[[#This Row],[Linha de Base 2024 (N) ]])/(Tabela746[[#This Row],[Meta 2024 (N)]]-Tabela746[[#This Row],[Linha de Base 2024 (N) ]]))), "FALSO")</f>
        <v>FALSO</v>
      </c>
      <c r="L204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04" s="259">
        <f>SUM(Tabela746[[#This Row],[ICM Atribuído - Grupo 1]:[ICM Atribuído - Grupo 4]])</f>
        <v>1</v>
      </c>
      <c r="N204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204" s="258">
        <f>IF(Tabela746[[#This Row],[APLICANDO FORMULA GRUPO 3 - ENQUADRAMENTO]]&lt;0,0,Tabela746[[#This Row],[APLICANDO FORMULA GRUPO 3 - ENQUADRAMENTO]])</f>
        <v>1</v>
      </c>
    </row>
    <row r="205" spans="1:15">
      <c r="A205" s="380">
        <v>246</v>
      </c>
      <c r="B205" s="408" t="s">
        <v>150</v>
      </c>
      <c r="C205" s="381">
        <v>0.7599358974358974</v>
      </c>
      <c r="D205" s="258">
        <f t="shared" si="9"/>
        <v>75.993589743589737</v>
      </c>
      <c r="E205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205" s="393">
        <v>66.455696202531641</v>
      </c>
      <c r="G205" s="394">
        <f>Tabela746[[#This Row],[Meta 2024 (N)]]*$E$6</f>
        <v>43.405635000000004</v>
      </c>
      <c r="H205" s="395">
        <v>66.777900000000002</v>
      </c>
      <c r="I205" s="258" t="b">
        <f t="shared" si="8"/>
        <v>0</v>
      </c>
      <c r="J205" s="258">
        <f>IF(E205="Excelência",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205" s="258" t="str">
        <f>IF(E205="Intermediário", MAX(0, MIN(1, (Tabela746[[#This Row],[TCC 2024 (N)]]-Tabela746[[#This Row],[Linha de Base 2024 (N) ]])/(Tabela746[[#This Row],[Meta 2024 (N)]]-Tabela746[[#This Row],[Linha de Base 2024 (N) ]]))), "FALSO")</f>
        <v>FALSO</v>
      </c>
      <c r="L205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05" s="259">
        <f>SUM(Tabela746[[#This Row],[ICM Atribuído - Grupo 1]:[ICM Atribuído - Grupo 4]])</f>
        <v>1</v>
      </c>
      <c r="N205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205" s="258">
        <f>IF(Tabela746[[#This Row],[APLICANDO FORMULA GRUPO 3 - ENQUADRAMENTO]]&lt;0,0,Tabela746[[#This Row],[APLICANDO FORMULA GRUPO 3 - ENQUADRAMENTO]])</f>
        <v>1</v>
      </c>
    </row>
    <row r="206" spans="1:15">
      <c r="A206" s="385">
        <v>247</v>
      </c>
      <c r="B206" s="409" t="s">
        <v>98</v>
      </c>
      <c r="C206" s="381">
        <v>0.68927579577013454</v>
      </c>
      <c r="D206" s="258">
        <f t="shared" si="9"/>
        <v>68.927579577013461</v>
      </c>
      <c r="E206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206" s="393">
        <v>69.949494949494948</v>
      </c>
      <c r="G206" s="394">
        <f>Tabela746[[#This Row],[Meta 2024 (N)]]*$E$6</f>
        <v>45.470165000000001</v>
      </c>
      <c r="H206" s="395">
        <v>69.954099999999997</v>
      </c>
      <c r="I206" s="258" t="b">
        <f t="shared" si="8"/>
        <v>0</v>
      </c>
      <c r="J206" s="258" t="b">
        <f>IF(E206="Grupo 2",IF(J206&lt;=0,0,IF(AND(J206&gt;0,J206&lt;0.25),0.25,IF(AND(J206&gt;=0.25,J206&lt;0.5),0.5,IF(AND(J206&gt;=0.5,J206&lt;0.75),0.75,IF(AND(J206&gt;=0.75,J206&lt;1),1,1))))))</f>
        <v>0</v>
      </c>
      <c r="K206" s="258">
        <f>IF(E206="Intermediário", MAX(0, MIN(1, (Tabela746[[#This Row],[TCC 2024 (N)]]-Tabela746[[#This Row],[Linha de Base 2024 (N) ]])/(Tabela746[[#This Row],[Meta 2024 (N)]]-Tabela746[[#This Row],[Linha de Base 2024 (N) ]]))), "FALSO")</f>
        <v>0.95807371556138599</v>
      </c>
      <c r="L206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06" s="259">
        <f>SUM(Tabela746[[#This Row],[ICM Atribuído - Grupo 1]:[ICM Atribuído - Grupo 4]])</f>
        <v>0.95807371556138599</v>
      </c>
      <c r="N206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206" s="258">
        <f>IF(Tabela746[[#This Row],[APLICANDO FORMULA GRUPO 3 - ENQUADRAMENTO]]&lt;0,0,Tabela746[[#This Row],[APLICANDO FORMULA GRUPO 3 - ENQUADRAMENTO]])</f>
        <v>1</v>
      </c>
    </row>
    <row r="207" spans="1:15">
      <c r="A207" s="380">
        <v>248</v>
      </c>
      <c r="B207" s="408" t="s">
        <v>203</v>
      </c>
      <c r="C207" s="381">
        <v>0.53179487179487173</v>
      </c>
      <c r="D207" s="258">
        <f t="shared" si="9"/>
        <v>53.179487179487175</v>
      </c>
      <c r="E207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207" s="393">
        <v>69.620253164556971</v>
      </c>
      <c r="G207" s="394">
        <f>Tabela746[[#This Row],[Meta 2024 (N)]]*$E$6</f>
        <v>45.275619999999996</v>
      </c>
      <c r="H207" s="395">
        <v>69.654799999999994</v>
      </c>
      <c r="I207" s="258" t="b">
        <f t="shared" si="8"/>
        <v>0</v>
      </c>
      <c r="J207" s="258" t="b">
        <f>IF(E207="Grupo 2",IF(J207&lt;=0,0,IF(AND(J207&gt;0,J207&lt;0.25),0.25,IF(AND(J207&gt;=0.25,J207&lt;0.5),0.5,IF(AND(J207&gt;=0.5,J207&lt;0.75),0.75,IF(AND(J207&gt;=0.75,J207&lt;1),1,1))))))</f>
        <v>0</v>
      </c>
      <c r="K207" s="258">
        <f>IF(E207="Intermediário", MAX(0, MIN(1, (Tabela746[[#This Row],[TCC 2024 (N)]]-Tabela746[[#This Row],[Linha de Base 2024 (N) ]])/(Tabela746[[#This Row],[Meta 2024 (N)]]-Tabela746[[#This Row],[Linha de Base 2024 (N) ]]))), "FALSO")</f>
        <v>0.32420562051255125</v>
      </c>
      <c r="L207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07" s="259">
        <f>SUM(Tabela746[[#This Row],[ICM Atribuído - Grupo 1]:[ICM Atribuído - Grupo 4]])</f>
        <v>0.32420562051255125</v>
      </c>
      <c r="N207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0.5</v>
      </c>
      <c r="O207" s="258">
        <f>IF(Tabela746[[#This Row],[APLICANDO FORMULA GRUPO 3 - ENQUADRAMENTO]]&lt;0,0,Tabela746[[#This Row],[APLICANDO FORMULA GRUPO 3 - ENQUADRAMENTO]])</f>
        <v>0.5</v>
      </c>
    </row>
    <row r="208" spans="1:15">
      <c r="A208" s="385">
        <v>249</v>
      </c>
      <c r="B208" s="409" t="s">
        <v>26</v>
      </c>
      <c r="C208" s="381">
        <v>0.78935669456066948</v>
      </c>
      <c r="D208" s="258">
        <f t="shared" si="9"/>
        <v>78.935669456066947</v>
      </c>
      <c r="E208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208" s="393">
        <v>79.617834394904463</v>
      </c>
      <c r="G208" s="394">
        <f>Tabela746[[#This Row],[Meta 2024 (N)]]*$E$6</f>
        <v>52.586690000000004</v>
      </c>
      <c r="H208" s="395">
        <v>80.902600000000007</v>
      </c>
      <c r="I208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0.8</v>
      </c>
      <c r="J208" s="258" t="b">
        <f>IF(E208="Excelência",
   IF(Tabela746[[#This Row],[TCC 2024 (N)]]&gt;=Tabela746[[#This Row],[TCC 2023(n)]],1,
      IF(Tabela746[[#This Row],[TCC 2024 (N)]]&gt;=C202,0.95,
         IF(AND(Tabela746[[#This Row],[TCC 2024 (N)]]&lt;Tabela746[[#This Row],[TCC 2024]], Tabela746[[#This Row],[TCC 2024 (N)]]&gt;E201),0.85,
            IF(AND(Tabela746[[#This Row],[TCC 2024 (N)]]&lt;E201, Tabela746[[#This Row],[TCC 2024 (N)]]&gt;=C201),0.8, FALSE)
         )
      )
   )
)</f>
        <v>0</v>
      </c>
      <c r="K208" s="258" t="str">
        <f>IF(E208="Intermediário", MAX(0, MIN(1, (Tabela746[[#This Row],[TCC 2024 (N)]]-Tabela746[[#This Row],[Linha de Base 2024 (N) ]])/(Tabela746[[#This Row],[Meta 2024 (N)]]-Tabela746[[#This Row],[Linha de Base 2024 (N) ]]))), "FALSO")</f>
        <v>FALSO</v>
      </c>
      <c r="L208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08" s="259">
        <f>SUM(Tabela746[[#This Row],[ICM Atribuído - Grupo 1]:[ICM Atribuído - Grupo 4]])</f>
        <v>0.8</v>
      </c>
      <c r="N208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0.8</v>
      </c>
      <c r="O208" s="258">
        <f>IF(Tabela746[[#This Row],[APLICANDO FORMULA GRUPO 3 - ENQUADRAMENTO]]&lt;0,0,Tabela746[[#This Row],[APLICANDO FORMULA GRUPO 3 - ENQUADRAMENTO]])</f>
        <v>0.8</v>
      </c>
    </row>
    <row r="209" spans="1:15">
      <c r="A209" s="380">
        <v>252</v>
      </c>
      <c r="B209" s="408" t="s">
        <v>184</v>
      </c>
      <c r="C209" s="381">
        <v>0.61016949152542366</v>
      </c>
      <c r="D209" s="258">
        <f t="shared" si="9"/>
        <v>61.016949152542367</v>
      </c>
      <c r="E209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209" s="393">
        <v>70</v>
      </c>
      <c r="G209" s="394">
        <f>Tabela746[[#This Row],[Meta 2024 (N)]]*$E$6</f>
        <v>45.507865000000002</v>
      </c>
      <c r="H209" s="395">
        <v>70.012100000000004</v>
      </c>
      <c r="I209" s="258" t="b">
        <f>IF(E209="Grupo 1",IF(AND(D209&gt;=$C$1,D209&lt;F209),0.75,IF(AND(D209&gt;=F209,D209&lt;H209),1,IF(D209&gt;=H209,1))))</f>
        <v>0</v>
      </c>
      <c r="J209" s="258" t="b">
        <f>IF(E209="Grupo 2",IF(J209&lt;=0,0,IF(AND(J209&gt;0,J209&lt;0.25),0.25,IF(AND(J209&gt;=0.25,J209&lt;0.5),0.5,IF(AND(J209&gt;=0.5,J209&lt;0.75),0.75,IF(AND(J209&gt;=0.75,J209&lt;1),1,1))))))</f>
        <v>0</v>
      </c>
      <c r="K209" s="258">
        <f>IF(E209="Intermediário", MAX(0, MIN(1, (Tabela746[[#This Row],[TCC 2024 (N)]]-Tabela746[[#This Row],[Linha de Base 2024 (N) ]])/(Tabela746[[#This Row],[Meta 2024 (N)]]-Tabela746[[#This Row],[Linha de Base 2024 (N) ]]))), "FALSO")</f>
        <v>0.63291443917928325</v>
      </c>
      <c r="L209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09" s="259">
        <f>SUM(Tabela746[[#This Row],[ICM Atribuído - Grupo 1]:[ICM Atribuído - Grupo 4]])</f>
        <v>0.63291443917928325</v>
      </c>
      <c r="N209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0.75</v>
      </c>
      <c r="O209" s="258">
        <f>IF(Tabela746[[#This Row],[APLICANDO FORMULA GRUPO 3 - ENQUADRAMENTO]]&lt;0,0,Tabela746[[#This Row],[APLICANDO FORMULA GRUPO 3 - ENQUADRAMENTO]])</f>
        <v>0.75</v>
      </c>
    </row>
    <row r="210" spans="1:15">
      <c r="A210" s="385">
        <v>253</v>
      </c>
      <c r="B210" s="409" t="s">
        <v>90</v>
      </c>
      <c r="C210" s="381">
        <v>0.68541666666666667</v>
      </c>
      <c r="D210" s="258">
        <f t="shared" si="9"/>
        <v>68.541666666666671</v>
      </c>
      <c r="E210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210" s="393">
        <v>58.75</v>
      </c>
      <c r="G210" s="394">
        <f>Tabela746[[#This Row],[Meta 2024 (N)]]*$E$6</f>
        <v>38.852255</v>
      </c>
      <c r="H210" s="395">
        <v>59.7727</v>
      </c>
      <c r="I210" s="258" t="b">
        <f>IF(E210="Grupo 1",IF(AND(D210&gt;=$C$1,D210&lt;F210),0.75,IF(AND(D210&gt;=F210,D210&lt;H210),1,IF(D210&gt;=H210,1))))</f>
        <v>0</v>
      </c>
      <c r="J210" s="258" t="b">
        <f>IF(E210="Grupo 2",IF(J210&lt;=0,0,IF(AND(J210&gt;0,J210&lt;0.25),0.25,IF(AND(J210&gt;=0.25,J210&lt;0.5),0.5,IF(AND(J210&gt;=0.5,J210&lt;0.75),0.75,IF(AND(J210&gt;=0.75,J210&lt;1),1,1))))))</f>
        <v>0</v>
      </c>
      <c r="K210" s="258">
        <f>IF(E210="Intermediário", MAX(0, MIN(1, (Tabela746[[#This Row],[TCC 2024 (N)]]-Tabela746[[#This Row],[Linha de Base 2024 (N) ]])/(Tabela746[[#This Row],[Meta 2024 (N)]]-Tabela746[[#This Row],[Linha de Base 2024 (N) ]]))), "FALSO")</f>
        <v>1</v>
      </c>
      <c r="L210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10" s="259">
        <f>SUM(Tabela746[[#This Row],[ICM Atribuído - Grupo 1]:[ICM Atribuído - Grupo 4]])</f>
        <v>1</v>
      </c>
      <c r="N210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210" s="258">
        <f>IF(Tabela746[[#This Row],[APLICANDO FORMULA GRUPO 3 - ENQUADRAMENTO]]&lt;0,0,Tabela746[[#This Row],[APLICANDO FORMULA GRUPO 3 - ENQUADRAMENTO]])</f>
        <v>1</v>
      </c>
    </row>
    <row r="211" spans="1:15">
      <c r="A211" s="380">
        <v>254</v>
      </c>
      <c r="B211" s="408" t="s">
        <v>40</v>
      </c>
      <c r="C211" s="381">
        <v>0.7770582684595424</v>
      </c>
      <c r="D211" s="258">
        <f t="shared" si="9"/>
        <v>77.705826845954235</v>
      </c>
      <c r="E211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211" s="393">
        <v>76.394849785407729</v>
      </c>
      <c r="G211" s="394">
        <f>Tabela746[[#This Row],[Meta 2024 (N)]]*$E$6</f>
        <v>49.690550000000002</v>
      </c>
      <c r="H211" s="395">
        <v>76.447000000000003</v>
      </c>
      <c r="I211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211" s="258" t="b">
        <f>IF(E211="Excelência",
   IF(Tabela746[[#This Row],[TCC 2024 (N)]]&gt;=Tabela746[[#This Row],[TCC 2023(n)]],1,
      IF(Tabela746[[#This Row],[TCC 2024 (N)]]&gt;=C205,0.95,
         IF(AND(Tabela746[[#This Row],[TCC 2024 (N)]]&lt;Tabela746[[#This Row],[TCC 2024]], Tabela746[[#This Row],[TCC 2024 (N)]]&gt;E204),0.85,
            IF(AND(Tabela746[[#This Row],[TCC 2024 (N)]]&lt;E204, Tabela746[[#This Row],[TCC 2024 (N)]]&gt;=C204),0.8, FALSE)
         )
      )
   )
)</f>
        <v>0</v>
      </c>
      <c r="K211" s="258" t="str">
        <f>IF(E211="Intermediário", MAX(0, MIN(1, (Tabela746[[#This Row],[TCC 2024 (N)]]-Tabela746[[#This Row],[Linha de Base 2024 (N) ]])/(Tabela746[[#This Row],[Meta 2024 (N)]]-Tabela746[[#This Row],[Linha de Base 2024 (N) ]]))), "FALSO")</f>
        <v>FALSO</v>
      </c>
      <c r="L211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11" s="259">
        <f>SUM(Tabela746[[#This Row],[ICM Atribuído - Grupo 1]:[ICM Atribuído - Grupo 4]])</f>
        <v>1</v>
      </c>
      <c r="N211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211" s="258">
        <f>IF(Tabela746[[#This Row],[APLICANDO FORMULA GRUPO 3 - ENQUADRAMENTO]]&lt;0,0,Tabela746[[#This Row],[APLICANDO FORMULA GRUPO 3 - ENQUADRAMENTO]])</f>
        <v>1</v>
      </c>
    </row>
    <row r="212" spans="1:15">
      <c r="A212" s="385">
        <v>255</v>
      </c>
      <c r="B212" s="409" t="s">
        <v>37</v>
      </c>
      <c r="C212" s="381">
        <v>0.58499999999999996</v>
      </c>
      <c r="D212" s="258">
        <f t="shared" si="9"/>
        <v>58.5</v>
      </c>
      <c r="E212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212" s="393">
        <v>72.083333333333329</v>
      </c>
      <c r="G212" s="394">
        <f>Tabela746[[#This Row],[Meta 2024 (N)]]*$E$6</f>
        <v>47.142810000000004</v>
      </c>
      <c r="H212" s="395">
        <v>72.5274</v>
      </c>
      <c r="I212" s="258" t="b">
        <f>IF(E212="Grupo 1",IF(AND(D212&gt;=$C$1,D212&lt;F212),0.75,IF(AND(D212&gt;=F212,D212&lt;H212),1,IF(D212&gt;=H212,1))))</f>
        <v>0</v>
      </c>
      <c r="J212" s="258" t="b">
        <f>IF(E212="Grupo 2",IF(J212&lt;=0,0,IF(AND(J212&gt;0,J212&lt;0.25),0.25,IF(AND(J212&gt;=0.25,J212&lt;0.5),0.5,IF(AND(J212&gt;=0.5,J212&lt;0.75),0.75,IF(AND(J212&gt;=0.75,J212&lt;1),1,1))))))</f>
        <v>0</v>
      </c>
      <c r="K212" s="258">
        <f>IF(E212="Intermediário", MAX(0, MIN(1, (Tabela746[[#This Row],[TCC 2024 (N)]]-Tabela746[[#This Row],[Linha de Base 2024 (N) ]])/(Tabela746[[#This Row],[Meta 2024 (N)]]-Tabela746[[#This Row],[Linha de Base 2024 (N) ]]))), "FALSO")</f>
        <v>0.44740490195035643</v>
      </c>
      <c r="L212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12" s="259">
        <f>SUM(Tabela746[[#This Row],[ICM Atribuído - Grupo 1]:[ICM Atribuído - Grupo 4]])</f>
        <v>0.44740490195035643</v>
      </c>
      <c r="N212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0.5</v>
      </c>
      <c r="O212" s="258">
        <f>IF(Tabela746[[#This Row],[APLICANDO FORMULA GRUPO 3 - ENQUADRAMENTO]]&lt;0,0,Tabela746[[#This Row],[APLICANDO FORMULA GRUPO 3 - ENQUADRAMENTO]])</f>
        <v>0.5</v>
      </c>
    </row>
    <row r="213" spans="1:15">
      <c r="A213" s="380">
        <v>256</v>
      </c>
      <c r="B213" s="408" t="s">
        <v>10</v>
      </c>
      <c r="C213" s="381">
        <v>0.83512544802867383</v>
      </c>
      <c r="D213" s="258">
        <f t="shared" si="9"/>
        <v>83.512544802867382</v>
      </c>
      <c r="E213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213" s="393">
        <v>78.571428571428569</v>
      </c>
      <c r="G213" s="394">
        <f>Tabela746[[#This Row],[Meta 2024 (N)]]*$E$6</f>
        <v>51.968345000000006</v>
      </c>
      <c r="H213" s="395">
        <v>79.951300000000003</v>
      </c>
      <c r="I213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213" s="258" t="b">
        <f>IF(E213="Grupo 2",IF(J213&lt;=0,0,IF(AND(J213&gt;0,J213&lt;0.25),0.25,IF(AND(J213&gt;=0.25,J213&lt;0.5),0.5,IF(AND(J213&gt;=0.5,J213&lt;0.75),0.75,IF(AND(J213&gt;=0.75,J213&lt;1),1,1))))))</f>
        <v>0</v>
      </c>
      <c r="K213" s="258" t="str">
        <f>IF(E213="Intermediário", MAX(0, MIN(1, (Tabela746[[#This Row],[TCC 2024 (N)]]-Tabela746[[#This Row],[Linha de Base 2024 (N) ]])/(Tabela746[[#This Row],[Meta 2024 (N)]]-Tabela746[[#This Row],[Linha de Base 2024 (N) ]]))), "FALSO")</f>
        <v>FALSO</v>
      </c>
      <c r="L213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13" s="259">
        <f>SUM(Tabela746[[#This Row],[ICM Atribuído - Grupo 1]:[ICM Atribuído - Grupo 4]])</f>
        <v>1</v>
      </c>
      <c r="N213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213" s="258">
        <f>IF(Tabela746[[#This Row],[APLICANDO FORMULA GRUPO 3 - ENQUADRAMENTO]]&lt;0,0,Tabela746[[#This Row],[APLICANDO FORMULA GRUPO 3 - ENQUADRAMENTO]])</f>
        <v>1</v>
      </c>
    </row>
    <row r="214" spans="1:15">
      <c r="A214" s="385">
        <v>260</v>
      </c>
      <c r="B214" s="409" t="s">
        <v>101</v>
      </c>
      <c r="C214" s="381">
        <v>0.59229114586361264</v>
      </c>
      <c r="D214" s="258">
        <f t="shared" si="9"/>
        <v>59.229114586361263</v>
      </c>
      <c r="E214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214" s="393">
        <v>66.025641025641022</v>
      </c>
      <c r="G214" s="394">
        <f>Tabela746[[#This Row],[Meta 2024 (N)]]*$E$6</f>
        <v>43.151485000000001</v>
      </c>
      <c r="H214" s="395">
        <v>66.386899999999997</v>
      </c>
      <c r="I214" s="258" t="b">
        <f>IF(E214="Grupo 1",IF(AND(D214&gt;=$C$1,D214&lt;F214),0.75,IF(AND(D214&gt;=F214,D214&lt;H214),1,IF(D214&gt;=H214,1))))</f>
        <v>0</v>
      </c>
      <c r="J214" s="258" t="b">
        <f>IF(E214="Grupo 2",IF(J214&lt;=0,0,IF(AND(J214&gt;0,J214&lt;0.25),0.25,IF(AND(J214&gt;=0.25,J214&lt;0.5),0.5,IF(AND(J214&gt;=0.5,J214&lt;0.75),0.75,IF(AND(J214&gt;=0.75,J214&lt;1),1,1))))))</f>
        <v>0</v>
      </c>
      <c r="K214" s="258">
        <f>IF(E214="Intermediário", MAX(0, MIN(1, (Tabela746[[#This Row],[TCC 2024 (N)]]-Tabela746[[#This Row],[Linha de Base 2024 (N) ]])/(Tabela746[[#This Row],[Meta 2024 (N)]]-Tabela746[[#This Row],[Linha de Base 2024 (N) ]]))), "FALSO")</f>
        <v>0.69194501524338015</v>
      </c>
      <c r="L214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14" s="259">
        <f>SUM(Tabela746[[#This Row],[ICM Atribuído - Grupo 1]:[ICM Atribuído - Grupo 4]])</f>
        <v>0.69194501524338015</v>
      </c>
      <c r="N214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0.75</v>
      </c>
      <c r="O214" s="258">
        <f>IF(Tabela746[[#This Row],[APLICANDO FORMULA GRUPO 3 - ENQUADRAMENTO]]&lt;0,0,Tabela746[[#This Row],[APLICANDO FORMULA GRUPO 3 - ENQUADRAMENTO]])</f>
        <v>0.75</v>
      </c>
    </row>
    <row r="215" spans="1:15">
      <c r="A215" s="380">
        <v>261</v>
      </c>
      <c r="B215" s="408" t="s">
        <v>211</v>
      </c>
      <c r="C215" s="381">
        <v>0.64303818857722206</v>
      </c>
      <c r="D215" s="258">
        <f t="shared" si="9"/>
        <v>64.303818857722206</v>
      </c>
      <c r="E215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215" s="393">
        <v>63.592233009708742</v>
      </c>
      <c r="G215" s="394">
        <f>Tabela746[[#This Row],[Meta 2024 (N)]]*$E$6</f>
        <v>41.713620000000006</v>
      </c>
      <c r="H215" s="395">
        <v>64.174800000000005</v>
      </c>
      <c r="I215" s="258" t="b">
        <f>IF(E215="Grupo 1",IF(AND(D215&gt;=$C$1,D215&lt;F215),0.75,IF(AND(D215&gt;=F215,D215&lt;H215),1,IF(D215&gt;=H215,1))))</f>
        <v>0</v>
      </c>
      <c r="J215" s="258" t="b">
        <f>IF(E215="Grupo 2",IF(J215&lt;=0,0,IF(AND(J215&gt;0,J215&lt;0.25),0.25,IF(AND(J215&gt;=0.25,J215&lt;0.5),0.5,IF(AND(J215&gt;=0.5,J215&lt;0.75),0.75,IF(AND(J215&gt;=0.75,J215&lt;1),1,1))))))</f>
        <v>0</v>
      </c>
      <c r="K215" s="258">
        <f>IF(E215="Intermediário", MAX(0, MIN(1, (Tabela746[[#This Row],[TCC 2024 (N)]]-Tabela746[[#This Row],[Linha de Base 2024 (N) ]])/(Tabela746[[#This Row],[Meta 2024 (N)]]-Tabela746[[#This Row],[Linha de Base 2024 (N) ]]))), "FALSO")</f>
        <v>1</v>
      </c>
      <c r="L215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15" s="259">
        <f>SUM(Tabela746[[#This Row],[ICM Atribuído - Grupo 1]:[ICM Atribuído - Grupo 4]])</f>
        <v>1</v>
      </c>
      <c r="N215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215" s="258">
        <f>IF(Tabela746[[#This Row],[APLICANDO FORMULA GRUPO 3 - ENQUADRAMENTO]]&lt;0,0,Tabela746[[#This Row],[APLICANDO FORMULA GRUPO 3 - ENQUADRAMENTO]])</f>
        <v>1</v>
      </c>
    </row>
    <row r="216" spans="1:15">
      <c r="A216" s="385">
        <v>262</v>
      </c>
      <c r="B216" s="409" t="s">
        <v>22</v>
      </c>
      <c r="C216" s="381">
        <v>0.79500679940025798</v>
      </c>
      <c r="D216" s="258">
        <f t="shared" si="9"/>
        <v>79.500679940025805</v>
      </c>
      <c r="E216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216" s="393">
        <v>88.087774294670851</v>
      </c>
      <c r="G216" s="394">
        <f>Tabela746[[#This Row],[Meta 2024 (N)]]*$E$6</f>
        <v>57.591625000000008</v>
      </c>
      <c r="H216" s="395">
        <v>88.602500000000006</v>
      </c>
      <c r="I216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0.8</v>
      </c>
      <c r="J216" s="258" t="b">
        <f>IF(E216="Excelência",
   IF(Tabela746[[#This Row],[TCC 2024 (N)]]&gt;=Tabela746[[#This Row],[TCC 2023(n)]],1,
      IF(Tabela746[[#This Row],[TCC 2024 (N)]]&gt;=C210,0.95,
         IF(AND(Tabela746[[#This Row],[TCC 2024 (N)]]&lt;Tabela746[[#This Row],[TCC 2024]], Tabela746[[#This Row],[TCC 2024 (N)]]&gt;E209),0.85,
            IF(AND(Tabela746[[#This Row],[TCC 2024 (N)]]&lt;E209, Tabela746[[#This Row],[TCC 2024 (N)]]&gt;=C209),0.8, FALSE)
         )
      )
   )
)</f>
        <v>0</v>
      </c>
      <c r="K216" s="258" t="str">
        <f>IF(E216="Intermediário", MAX(0, MIN(1, (Tabela746[[#This Row],[TCC 2024 (N)]]-Tabela746[[#This Row],[Linha de Base 2024 (N) ]])/(Tabela746[[#This Row],[Meta 2024 (N)]]-Tabela746[[#This Row],[Linha de Base 2024 (N) ]]))), "FALSO")</f>
        <v>FALSO</v>
      </c>
      <c r="L216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16" s="259">
        <f>SUM(Tabela746[[#This Row],[ICM Atribuído - Grupo 1]:[ICM Atribuído - Grupo 4]])</f>
        <v>0.8</v>
      </c>
      <c r="N216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0.8</v>
      </c>
      <c r="O216" s="258">
        <f>IF(Tabela746[[#This Row],[APLICANDO FORMULA GRUPO 3 - ENQUADRAMENTO]]&lt;0,0,Tabela746[[#This Row],[APLICANDO FORMULA GRUPO 3 - ENQUADRAMENTO]])</f>
        <v>0.8</v>
      </c>
    </row>
    <row r="217" spans="1:15">
      <c r="A217" s="380">
        <v>263</v>
      </c>
      <c r="B217" s="408" t="s">
        <v>36</v>
      </c>
      <c r="C217" s="381">
        <v>0.7416666666666667</v>
      </c>
      <c r="D217" s="258">
        <f t="shared" si="9"/>
        <v>74.166666666666671</v>
      </c>
      <c r="E217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217" s="393">
        <v>76.687116564417181</v>
      </c>
      <c r="G217" s="394">
        <f>Tabela746[[#This Row],[Meta 2024 (N)]]*$E$6</f>
        <v>49.863255000000002</v>
      </c>
      <c r="H217" s="395">
        <v>76.712699999999998</v>
      </c>
      <c r="I217" s="258" t="b">
        <f t="shared" ref="I217:I223" si="10">IF(E217="Grupo 1",IF(AND(D217&gt;=$C$1,D217&lt;F217),0.75,IF(AND(D217&gt;=F217,D217&lt;H217),1,IF(D217&gt;=H217,1))))</f>
        <v>0</v>
      </c>
      <c r="J217" s="258">
        <f>IF(E217="Excelência",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0.9</v>
      </c>
      <c r="K217" s="258" t="str">
        <f>IF(E217="Intermediário", MAX(0, MIN(1, (Tabela746[[#This Row],[TCC 2024 (N)]]-Tabela746[[#This Row],[Linha de Base 2024 (N) ]])/(Tabela746[[#This Row],[Meta 2024 (N)]]-Tabela746[[#This Row],[Linha de Base 2024 (N) ]]))), "FALSO")</f>
        <v>FALSO</v>
      </c>
      <c r="L217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17" s="259">
        <f>SUM(Tabela746[[#This Row],[ICM Atribuído - Grupo 1]:[ICM Atribuído - Grupo 4]])</f>
        <v>0.9</v>
      </c>
      <c r="N217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0.9</v>
      </c>
      <c r="O217" s="258">
        <f>IF(Tabela746[[#This Row],[APLICANDO FORMULA GRUPO 3 - ENQUADRAMENTO]]&lt;0,0,Tabela746[[#This Row],[APLICANDO FORMULA GRUPO 3 - ENQUADRAMENTO]])</f>
        <v>0.9</v>
      </c>
    </row>
    <row r="218" spans="1:15">
      <c r="A218" s="385">
        <v>264</v>
      </c>
      <c r="B218" s="409" t="s">
        <v>215</v>
      </c>
      <c r="C218" s="381">
        <v>0.72547423953305645</v>
      </c>
      <c r="D218" s="258">
        <f t="shared" si="9"/>
        <v>72.547423953305639</v>
      </c>
      <c r="E218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218" s="393">
        <v>57.784431137724546</v>
      </c>
      <c r="G218" s="394">
        <f>Tabela746[[#This Row],[Meta 2024 (N)]]*$E$6</f>
        <v>38.281685000000003</v>
      </c>
      <c r="H218" s="395">
        <v>58.8949</v>
      </c>
      <c r="I218" s="258" t="b">
        <f t="shared" si="10"/>
        <v>0</v>
      </c>
      <c r="J218" s="258">
        <f>IF(E218="Excelência",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218" s="258" t="str">
        <f>IF(E218="Intermediário", MAX(0, MIN(1, (Tabela746[[#This Row],[TCC 2024 (N)]]-Tabela746[[#This Row],[Linha de Base 2024 (N) ]])/(Tabela746[[#This Row],[Meta 2024 (N)]]-Tabela746[[#This Row],[Linha de Base 2024 (N) ]]))), "FALSO")</f>
        <v>FALSO</v>
      </c>
      <c r="L218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18" s="259">
        <f>SUM(Tabela746[[#This Row],[ICM Atribuído - Grupo 1]:[ICM Atribuído - Grupo 4]])</f>
        <v>1</v>
      </c>
      <c r="N218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218" s="258">
        <f>IF(Tabela746[[#This Row],[APLICANDO FORMULA GRUPO 3 - ENQUADRAMENTO]]&lt;0,0,Tabela746[[#This Row],[APLICANDO FORMULA GRUPO 3 - ENQUADRAMENTO]])</f>
        <v>1</v>
      </c>
    </row>
    <row r="219" spans="1:15">
      <c r="A219" s="380">
        <v>266</v>
      </c>
      <c r="B219" s="408" t="s">
        <v>199</v>
      </c>
      <c r="C219" s="381">
        <v>0.62382739212007499</v>
      </c>
      <c r="D219" s="258">
        <f t="shared" si="9"/>
        <v>62.3827392120075</v>
      </c>
      <c r="E219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219" s="393">
        <v>59.44055944055944</v>
      </c>
      <c r="G219" s="394">
        <f>Tabela746[[#This Row],[Meta 2024 (N)]]*$E$6</f>
        <v>39.260325000000002</v>
      </c>
      <c r="H219" s="395">
        <v>60.400500000000001</v>
      </c>
      <c r="I219" s="258" t="b">
        <f t="shared" si="10"/>
        <v>0</v>
      </c>
      <c r="J219" s="258" t="b">
        <f>IF(E219="Grupo 2",IF(J219&lt;=0,0,IF(AND(J219&gt;0,J219&lt;0.25),0.25,IF(AND(J219&gt;=0.25,J219&lt;0.5),0.5,IF(AND(J219&gt;=0.5,J219&lt;0.75),0.75,IF(AND(J219&gt;=0.75,J219&lt;1),1,1))))))</f>
        <v>0</v>
      </c>
      <c r="K219" s="258">
        <f>IF(E219="Intermediário", MAX(0, MIN(1, (Tabela746[[#This Row],[TCC 2024 (N)]]-Tabela746[[#This Row],[Linha de Base 2024 (N) ]])/(Tabela746[[#This Row],[Meta 2024 (N)]]-Tabela746[[#This Row],[Linha de Base 2024 (N) ]]))), "FALSO")</f>
        <v>1</v>
      </c>
      <c r="L219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19" s="259">
        <f>SUM(Tabela746[[#This Row],[ICM Atribuído - Grupo 1]:[ICM Atribuído - Grupo 4]])</f>
        <v>1</v>
      </c>
      <c r="N219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219" s="258">
        <f>IF(Tabela746[[#This Row],[APLICANDO FORMULA GRUPO 3 - ENQUADRAMENTO]]&lt;0,0,Tabela746[[#This Row],[APLICANDO FORMULA GRUPO 3 - ENQUADRAMENTO]])</f>
        <v>1</v>
      </c>
    </row>
    <row r="220" spans="1:15">
      <c r="A220" s="385">
        <v>267</v>
      </c>
      <c r="B220" s="409" t="s">
        <v>216</v>
      </c>
      <c r="C220" s="381">
        <v>0.52982456140350875</v>
      </c>
      <c r="D220" s="258">
        <f t="shared" si="9"/>
        <v>52.982456140350877</v>
      </c>
      <c r="E220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220" s="393">
        <v>44.444444444444443</v>
      </c>
      <c r="G220" s="394">
        <f>Tabela746[[#This Row],[Meta 2024 (N)]]*$E$6</f>
        <v>30.399004999999999</v>
      </c>
      <c r="H220" s="395">
        <v>46.767699999999998</v>
      </c>
      <c r="I220" s="258" t="b">
        <f t="shared" si="10"/>
        <v>0</v>
      </c>
      <c r="J220" s="258" t="b">
        <f>IF(E220="Grupo 2",IF(J220&lt;=0,0,IF(AND(J220&gt;0,J220&lt;0.25),0.25,IF(AND(J220&gt;=0.25,J220&lt;0.5),0.5,IF(AND(J220&gt;=0.5,J220&lt;0.75),0.75,IF(AND(J220&gt;=0.75,J220&lt;1),1,1))))))</f>
        <v>0</v>
      </c>
      <c r="K220" s="258">
        <f>IF(E220="Intermediário", MAX(0, MIN(1, (Tabela746[[#This Row],[TCC 2024 (N)]]-Tabela746[[#This Row],[Linha de Base 2024 (N) ]])/(Tabela746[[#This Row],[Meta 2024 (N)]]-Tabela746[[#This Row],[Linha de Base 2024 (N) ]]))), "FALSO")</f>
        <v>1</v>
      </c>
      <c r="L220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20" s="259">
        <f>SUM(Tabela746[[#This Row],[ICM Atribuído - Grupo 1]:[ICM Atribuído - Grupo 4]])</f>
        <v>1</v>
      </c>
      <c r="N220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220" s="258">
        <f>IF(Tabela746[[#This Row],[APLICANDO FORMULA GRUPO 3 - ENQUADRAMENTO]]&lt;0,0,Tabela746[[#This Row],[APLICANDO FORMULA GRUPO 3 - ENQUADRAMENTO]])</f>
        <v>1</v>
      </c>
    </row>
    <row r="221" spans="1:15">
      <c r="A221" s="380">
        <v>268</v>
      </c>
      <c r="B221" s="408" t="s">
        <v>120</v>
      </c>
      <c r="C221" s="381">
        <v>0.69482758620689655</v>
      </c>
      <c r="D221" s="258">
        <f t="shared" si="9"/>
        <v>69.482758620689651</v>
      </c>
      <c r="E221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221" s="393">
        <v>72.327044025157221</v>
      </c>
      <c r="G221" s="394">
        <f>Tabela746[[#This Row],[Meta 2024 (N)]]*$E$6</f>
        <v>47.286850000000001</v>
      </c>
      <c r="H221" s="395">
        <v>72.748999999999995</v>
      </c>
      <c r="I221" s="258" t="b">
        <f t="shared" si="10"/>
        <v>0</v>
      </c>
      <c r="J221" s="258" t="b">
        <f>IF(E221="Grupo 2",IF(J221&lt;=0,0,IF(AND(J221&gt;0,J221&lt;0.25),0.25,IF(AND(J221&gt;=0.25,J221&lt;0.5),0.5,IF(AND(J221&gt;=0.5,J221&lt;0.75),0.75,IF(AND(J221&gt;=0.75,J221&lt;1),1,1))))))</f>
        <v>0</v>
      </c>
      <c r="K221" s="258">
        <f>IF(E221="Intermediário", MAX(0, MIN(1, (Tabela746[[#This Row],[TCC 2024 (N)]]-Tabela746[[#This Row],[Linha de Base 2024 (N) ]])/(Tabela746[[#This Row],[Meta 2024 (N)]]-Tabela746[[#This Row],[Linha de Base 2024 (N) ]]))), "FALSO")</f>
        <v>0.87172169752710027</v>
      </c>
      <c r="L221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21" s="259">
        <f>SUM(Tabela746[[#This Row],[ICM Atribuído - Grupo 1]:[ICM Atribuído - Grupo 4]])</f>
        <v>0.87172169752710027</v>
      </c>
      <c r="N221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221" s="258">
        <f>IF(Tabela746[[#This Row],[APLICANDO FORMULA GRUPO 3 - ENQUADRAMENTO]]&lt;0,0,Tabela746[[#This Row],[APLICANDO FORMULA GRUPO 3 - ENQUADRAMENTO]])</f>
        <v>1</v>
      </c>
    </row>
    <row r="222" spans="1:15">
      <c r="A222" s="385">
        <v>271</v>
      </c>
      <c r="B222" s="409" t="s">
        <v>198</v>
      </c>
      <c r="C222" s="381">
        <v>0.53500000000000003</v>
      </c>
      <c r="D222" s="258">
        <f t="shared" si="9"/>
        <v>53.5</v>
      </c>
      <c r="E222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222" s="393">
        <v>66.666666666666657</v>
      </c>
      <c r="G222" s="394">
        <f>Tabela746[[#This Row],[Meta 2024 (N)]]*$E$6</f>
        <v>43.530305000000006</v>
      </c>
      <c r="H222" s="395">
        <v>66.969700000000003</v>
      </c>
      <c r="I222" s="258" t="b">
        <f t="shared" si="10"/>
        <v>0</v>
      </c>
      <c r="J222" s="258" t="b">
        <f>IF(E222="Grupo 2",IF(J222&lt;=0,0,IF(AND(J222&gt;0,J222&lt;0.25),0.25,IF(AND(J222&gt;=0.25,J222&lt;0.5),0.5,IF(AND(J222&gt;=0.5,J222&lt;0.75),0.75,IF(AND(J222&gt;=0.75,J222&lt;1),1,1))))))</f>
        <v>0</v>
      </c>
      <c r="K222" s="258">
        <f>IF(E222="Intermediário", MAX(0, MIN(1, (Tabela746[[#This Row],[TCC 2024 (N)]]-Tabela746[[#This Row],[Linha de Base 2024 (N) ]])/(Tabela746[[#This Row],[Meta 2024 (N)]]-Tabela746[[#This Row],[Linha de Base 2024 (N) ]]))), "FALSO")</f>
        <v>0.42533926323610294</v>
      </c>
      <c r="L222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22" s="259">
        <f>SUM(Tabela746[[#This Row],[ICM Atribuído - Grupo 1]:[ICM Atribuído - Grupo 4]])</f>
        <v>0.42533926323610294</v>
      </c>
      <c r="N222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0.5</v>
      </c>
      <c r="O222" s="258">
        <f>IF(Tabela746[[#This Row],[APLICANDO FORMULA GRUPO 3 - ENQUADRAMENTO]]&lt;0,0,Tabela746[[#This Row],[APLICANDO FORMULA GRUPO 3 - ENQUADRAMENTO]])</f>
        <v>0.5</v>
      </c>
    </row>
    <row r="223" spans="1:15">
      <c r="A223" s="380">
        <v>273</v>
      </c>
      <c r="B223" s="408" t="s">
        <v>82</v>
      </c>
      <c r="C223" s="381">
        <v>0.63148148148148153</v>
      </c>
      <c r="D223" s="258">
        <f t="shared" si="9"/>
        <v>63.148148148148152</v>
      </c>
      <c r="E223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223" s="393">
        <v>70.526315789473685</v>
      </c>
      <c r="G223" s="394">
        <f>Tabela746[[#This Row],[Meta 2024 (N)]]*$E$6</f>
        <v>46.222799999999999</v>
      </c>
      <c r="H223" s="395">
        <v>71.111999999999995</v>
      </c>
      <c r="I223" s="258" t="b">
        <f t="shared" si="10"/>
        <v>0</v>
      </c>
      <c r="J223" s="258" t="b">
        <f>IF(E223="Grupo 2",IF(J223&lt;=0,0,IF(AND(J223&gt;0,J223&lt;0.25),0.25,IF(AND(J223&gt;=0.25,J223&lt;0.5),0.5,IF(AND(J223&gt;=0.5,J223&lt;0.75),0.75,IF(AND(J223&gt;=0.75,J223&lt;1),1,1))))))</f>
        <v>0</v>
      </c>
      <c r="K223" s="258">
        <f>IF(E223="Intermediário", MAX(0, MIN(1, (Tabela746[[#This Row],[TCC 2024 (N)]]-Tabela746[[#This Row],[Linha de Base 2024 (N) ]])/(Tabela746[[#This Row],[Meta 2024 (N)]]-Tabela746[[#This Row],[Linha de Base 2024 (N) ]]))), "FALSO")</f>
        <v>0.6800278091761951</v>
      </c>
      <c r="L223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23" s="259">
        <f>SUM(Tabela746[[#This Row],[ICM Atribuído - Grupo 1]:[ICM Atribuído - Grupo 4]])</f>
        <v>0.6800278091761951</v>
      </c>
      <c r="N223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0.75</v>
      </c>
      <c r="O223" s="258">
        <f>IF(Tabela746[[#This Row],[APLICANDO FORMULA GRUPO 3 - ENQUADRAMENTO]]&lt;0,0,Tabela746[[#This Row],[APLICANDO FORMULA GRUPO 3 - ENQUADRAMENTO]])</f>
        <v>0.75</v>
      </c>
    </row>
    <row r="224" spans="1:15">
      <c r="A224" s="385">
        <v>274</v>
      </c>
      <c r="B224" s="409" t="s">
        <v>75</v>
      </c>
      <c r="C224" s="381">
        <v>0.76933838912133889</v>
      </c>
      <c r="D224" s="258">
        <f t="shared" si="9"/>
        <v>76.933838912133893</v>
      </c>
      <c r="E224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224" s="393">
        <v>71.5311004784689</v>
      </c>
      <c r="G224" s="394">
        <f>Tabela746[[#This Row],[Meta 2024 (N)]]*$E$6</f>
        <v>46.816510000000008</v>
      </c>
      <c r="H224" s="395">
        <v>72.025400000000005</v>
      </c>
      <c r="I224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224" s="258" t="b">
        <f>IF(E224="Excelência",
   IF(Tabela746[[#This Row],[TCC 2024 (N)]]&gt;=Tabela746[[#This Row],[TCC 2023(n)]],1,
      IF(Tabela746[[#This Row],[TCC 2024 (N)]]&gt;=C218,0.9,
         IF(AND(Tabela746[[#This Row],[TCC 2024 (N)]]&lt;C218, Tabela746[[#This Row],[TCC 2024 (N)]]&gt;C221),0.85,
            IF(AND(Tabela746[[#This Row],[TCC 2024 (N)]]&lt;C221, Tabela746[[#This Row],[TCC 2024 (N)]]&gt;=C220),0.8,
              IF(AND(Tabela746[[#This Row],[TCC 2024 (N)]]&lt;C220, Tabela746[[#This Row],[TCC 2024 (N)]]&gt;=C214),0.7, FALSE))))) )</f>
        <v>0</v>
      </c>
      <c r="K224" s="258" t="str">
        <f>IF(E224="Intermediário", MAX(0, MIN(1, (Tabela746[[#This Row],[TCC 2024 (N)]]-Tabela746[[#This Row],[Linha de Base 2024 (N) ]])/(Tabela746[[#This Row],[Meta 2024 (N)]]-Tabela746[[#This Row],[Linha de Base 2024 (N) ]]))), "FALSO")</f>
        <v>FALSO</v>
      </c>
      <c r="L224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24" s="259">
        <f>SUM(Tabela746[[#This Row],[ICM Atribuído - Grupo 1]:[ICM Atribuído - Grupo 4]])</f>
        <v>1</v>
      </c>
      <c r="N224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224" s="258">
        <f>IF(Tabela746[[#This Row],[APLICANDO FORMULA GRUPO 3 - ENQUADRAMENTO]]&lt;0,0,Tabela746[[#This Row],[APLICANDO FORMULA GRUPO 3 - ENQUADRAMENTO]])</f>
        <v>1</v>
      </c>
    </row>
    <row r="225" spans="1:15">
      <c r="A225" s="380">
        <v>277</v>
      </c>
      <c r="B225" s="408" t="s">
        <v>122</v>
      </c>
      <c r="C225" s="381">
        <v>0.67708333333333337</v>
      </c>
      <c r="D225" s="258">
        <f t="shared" si="9"/>
        <v>67.708333333333343</v>
      </c>
      <c r="E225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225" s="393">
        <v>63.5</v>
      </c>
      <c r="G225" s="394">
        <f>Tabela746[[#This Row],[Meta 2024 (N)]]*$E$6</f>
        <v>41.659085000000005</v>
      </c>
      <c r="H225" s="395">
        <v>64.090900000000005</v>
      </c>
      <c r="I225" s="258" t="b">
        <f>IF(E225="Grupo 1",IF(AND(D225&gt;=$C$1,D225&lt;F225),0.75,IF(AND(D225&gt;=F225,D225&lt;H225),1,IF(D225&gt;=H225,1))))</f>
        <v>0</v>
      </c>
      <c r="J225" s="258" t="b">
        <f>IF(E225="Grupo 2",IF(J225&lt;=0,0,IF(AND(J225&gt;0,J225&lt;0.25),0.25,IF(AND(J225&gt;=0.25,J225&lt;0.5),0.5,IF(AND(J225&gt;=0.5,J225&lt;0.75),0.75,IF(AND(J225&gt;=0.75,J225&lt;1),1,1))))))</f>
        <v>0</v>
      </c>
      <c r="K225" s="258">
        <f>IF(E225="Intermediário", MAX(0, MIN(1, (Tabela746[[#This Row],[TCC 2024 (N)]]-Tabela746[[#This Row],[Linha de Base 2024 (N) ]])/(Tabela746[[#This Row],[Meta 2024 (N)]]-Tabela746[[#This Row],[Linha de Base 2024 (N) ]]))), "FALSO")</f>
        <v>1</v>
      </c>
      <c r="L225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25" s="259">
        <f>SUM(Tabela746[[#This Row],[ICM Atribuído - Grupo 1]:[ICM Atribuído - Grupo 4]])</f>
        <v>1</v>
      </c>
      <c r="N225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225" s="258">
        <f>IF(Tabela746[[#This Row],[APLICANDO FORMULA GRUPO 3 - ENQUADRAMENTO]]&lt;0,0,Tabela746[[#This Row],[APLICANDO FORMULA GRUPO 3 - ENQUADRAMENTO]])</f>
        <v>1</v>
      </c>
    </row>
    <row r="226" spans="1:15">
      <c r="A226" s="385">
        <v>279</v>
      </c>
      <c r="B226" s="409" t="s">
        <v>221</v>
      </c>
      <c r="C226" s="381">
        <v>0.62271062271062272</v>
      </c>
      <c r="D226" s="258">
        <f t="shared" si="9"/>
        <v>62.27106227106227</v>
      </c>
      <c r="E226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226" s="393">
        <v>64.077669902912632</v>
      </c>
      <c r="G226" s="394">
        <f>Tabela746[[#This Row],[Meta 2024 (N)]]*$E$6</f>
        <v>42.000465000000005</v>
      </c>
      <c r="H226" s="395">
        <v>64.616100000000003</v>
      </c>
      <c r="I226" s="258" t="b">
        <f>IF(E226="Grupo 1",IF(AND(D226&gt;=$C$1,D226&lt;F226),0.75,IF(AND(D226&gt;=F226,D226&lt;H226),1,IF(D226&gt;=H226,1))))</f>
        <v>0</v>
      </c>
      <c r="J226" s="258" t="b">
        <f>IF(E226="Grupo 2",IF(J226&lt;=0,0,IF(AND(J226&gt;0,J226&lt;0.25),0.25,IF(AND(J226&gt;=0.25,J226&lt;0.5),0.5,IF(AND(J226&gt;=0.5,J226&lt;0.75),0.75,IF(AND(J226&gt;=0.75,J226&lt;1),1,1))))))</f>
        <v>0</v>
      </c>
      <c r="K226" s="258">
        <f>IF(E226="Intermediário", MAX(0, MIN(1, (Tabela746[[#This Row],[TCC 2024 (N)]]-Tabela746[[#This Row],[Linha de Base 2024 (N) ]])/(Tabela746[[#This Row],[Meta 2024 (N)]]-Tabela746[[#This Row],[Linha de Base 2024 (N) ]]))), "FALSO")</f>
        <v>0.89630900353062237</v>
      </c>
      <c r="L226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26" s="259">
        <f>SUM(Tabela746[[#This Row],[ICM Atribuído - Grupo 1]:[ICM Atribuído - Grupo 4]])</f>
        <v>0.89630900353062237</v>
      </c>
      <c r="N226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226" s="258">
        <f>IF(Tabela746[[#This Row],[APLICANDO FORMULA GRUPO 3 - ENQUADRAMENTO]]&lt;0,0,Tabela746[[#This Row],[APLICANDO FORMULA GRUPO 3 - ENQUADRAMENTO]])</f>
        <v>1</v>
      </c>
    </row>
    <row r="227" spans="1:15">
      <c r="A227" s="380">
        <v>281</v>
      </c>
      <c r="B227" s="408" t="s">
        <v>12</v>
      </c>
      <c r="C227" s="381">
        <v>0.91428571428571426</v>
      </c>
      <c r="D227" s="258">
        <f t="shared" si="9"/>
        <v>91.428571428571431</v>
      </c>
      <c r="E227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227" s="393">
        <v>87.769784172661872</v>
      </c>
      <c r="G227" s="394">
        <f>Tabela746[[#This Row],[Meta 2024 (N)]]*$E$6</f>
        <v>57.403710000000004</v>
      </c>
      <c r="H227" s="395">
        <v>88.313400000000001</v>
      </c>
      <c r="I227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1</v>
      </c>
      <c r="J227" s="258" t="b">
        <f>IF(E227="Grupo 2",IF(J227&lt;=0,0,IF(AND(J227&gt;0,J227&lt;0.25),0.25,IF(AND(J227&gt;=0.25,J227&lt;0.5),0.5,IF(AND(J227&gt;=0.5,J227&lt;0.75),0.75,IF(AND(J227&gt;=0.75,J227&lt;1),1,1))))))</f>
        <v>0</v>
      </c>
      <c r="K227" s="258" t="str">
        <f>IF(E227="Intermediário", MAX(0, MIN(1, (Tabela746[[#This Row],[TCC 2024 (N)]]-Tabela746[[#This Row],[Linha de Base 2024 (N) ]])/(Tabela746[[#This Row],[Meta 2024 (N)]]-Tabela746[[#This Row],[Linha de Base 2024 (N) ]]))), "FALSO")</f>
        <v>FALSO</v>
      </c>
      <c r="L227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27" s="259">
        <f>SUM(Tabela746[[#This Row],[ICM Atribuído - Grupo 1]:[ICM Atribuído - Grupo 4]])</f>
        <v>1</v>
      </c>
      <c r="N227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227" s="258">
        <f>IF(Tabela746[[#This Row],[APLICANDO FORMULA GRUPO 3 - ENQUADRAMENTO]]&lt;0,0,Tabela746[[#This Row],[APLICANDO FORMULA GRUPO 3 - ENQUADRAMENTO]])</f>
        <v>1</v>
      </c>
    </row>
    <row r="228" spans="1:15">
      <c r="A228" s="385">
        <v>282</v>
      </c>
      <c r="B228" s="409" t="s">
        <v>56</v>
      </c>
      <c r="C228" s="381">
        <v>0.66749999999999998</v>
      </c>
      <c r="D228" s="258">
        <f t="shared" si="9"/>
        <v>66.75</v>
      </c>
      <c r="E228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228" s="393">
        <v>71.771771771771782</v>
      </c>
      <c r="G228" s="394">
        <f>Tabela746[[#This Row],[Meta 2024 (N)]]*$E$6</f>
        <v>46.958730000000003</v>
      </c>
      <c r="H228" s="395">
        <v>72.244200000000006</v>
      </c>
      <c r="I228" s="258" t="b">
        <f>IF(E228="Grupo 1",IF(AND(D228&gt;=$C$1,D228&lt;F228),0.75,IF(AND(D228&gt;=F228,D228&lt;H228),1,IF(D228&gt;=H228,1))))</f>
        <v>0</v>
      </c>
      <c r="J228" s="258" t="b">
        <f>IF(E228="Grupo 2",IF(J228&lt;=0,0,IF(AND(J228&gt;0,J228&lt;0.25),0.25,IF(AND(J228&gt;=0.25,J228&lt;0.5),0.5,IF(AND(J228&gt;=0.5,J228&lt;0.75),0.75,IF(AND(J228&gt;=0.75,J228&lt;1),1,1))))))</f>
        <v>0</v>
      </c>
      <c r="K228" s="258">
        <f>IF(E228="Intermediário", MAX(0, MIN(1, (Tabela746[[#This Row],[TCC 2024 (N)]]-Tabela746[[#This Row],[Linha de Base 2024 (N) ]])/(Tabela746[[#This Row],[Meta 2024 (N)]]-Tabela746[[#This Row],[Linha de Base 2024 (N) ]]))), "FALSO")</f>
        <v>0.78271315502539573</v>
      </c>
      <c r="L228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28" s="259">
        <f>SUM(Tabela746[[#This Row],[ICM Atribuído - Grupo 1]:[ICM Atribuído - Grupo 4]])</f>
        <v>0.78271315502539573</v>
      </c>
      <c r="N228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228" s="258">
        <f>IF(Tabela746[[#This Row],[APLICANDO FORMULA GRUPO 3 - ENQUADRAMENTO]]&lt;0,0,Tabela746[[#This Row],[APLICANDO FORMULA GRUPO 3 - ENQUADRAMENTO]])</f>
        <v>1</v>
      </c>
    </row>
    <row r="229" spans="1:15">
      <c r="A229" s="380">
        <v>285</v>
      </c>
      <c r="B229" s="408" t="s">
        <v>32</v>
      </c>
      <c r="C229" s="381">
        <v>0.77222222222222214</v>
      </c>
      <c r="D229" s="258">
        <f t="shared" si="9"/>
        <v>77.222222222222214</v>
      </c>
      <c r="E229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229" s="393">
        <v>83.298538622129442</v>
      </c>
      <c r="G229" s="394">
        <f>Tabela746[[#This Row],[Meta 2024 (N)]]*$E$6</f>
        <v>54.761655000000005</v>
      </c>
      <c r="H229" s="395">
        <v>84.248699999999999</v>
      </c>
      <c r="I229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0.8</v>
      </c>
      <c r="J229" s="258" t="b">
        <f>IF(E229="Excelência",
   IF(Tabela746[[#This Row],[TCC 2024 (N)]]&gt;=Tabela746[[#This Row],[TCC 2023(n)]],1,
      IF(Tabela746[[#This Row],[TCC 2024 (N)]]&gt;=C223,0.95,
         IF(AND(Tabela746[[#This Row],[TCC 2024 (N)]]&lt;Tabela746[[#This Row],[TCC 2024]], Tabela746[[#This Row],[TCC 2024 (N)]]&gt;E222),0.85,
            IF(AND(Tabela746[[#This Row],[TCC 2024 (N)]]&lt;E222, Tabela746[[#This Row],[TCC 2024 (N)]]&gt;=C222),0.8, FALSE)
         )
      )
   )
)</f>
        <v>0</v>
      </c>
      <c r="K229" s="258" t="str">
        <f>IF(E229="Intermediário", MAX(0, MIN(1, (Tabela746[[#This Row],[TCC 2024 (N)]]-Tabela746[[#This Row],[Linha de Base 2024 (N) ]])/(Tabela746[[#This Row],[Meta 2024 (N)]]-Tabela746[[#This Row],[Linha de Base 2024 (N) ]]))), "FALSO")</f>
        <v>FALSO</v>
      </c>
      <c r="L229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29" s="259">
        <f>SUM(Tabela746[[#This Row],[ICM Atribuído - Grupo 1]:[ICM Atribuído - Grupo 4]])</f>
        <v>0.8</v>
      </c>
      <c r="N229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0.8</v>
      </c>
      <c r="O229" s="258">
        <f>IF(Tabela746[[#This Row],[APLICANDO FORMULA GRUPO 3 - ENQUADRAMENTO]]&lt;0,0,Tabela746[[#This Row],[APLICANDO FORMULA GRUPO 3 - ENQUADRAMENTO]])</f>
        <v>0.8</v>
      </c>
    </row>
    <row r="230" spans="1:15">
      <c r="A230" s="385">
        <v>287</v>
      </c>
      <c r="B230" s="409" t="s">
        <v>103</v>
      </c>
      <c r="C230" s="381">
        <v>0.65968882602545964</v>
      </c>
      <c r="D230" s="258">
        <f t="shared" si="9"/>
        <v>65.96888260254596</v>
      </c>
      <c r="E230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230" s="393">
        <v>63.157894736842103</v>
      </c>
      <c r="G230" s="394">
        <f>Tabela746[[#This Row],[Meta 2024 (N)]]*$E$6</f>
        <v>41.456935000000001</v>
      </c>
      <c r="H230" s="395">
        <v>63.779899999999998</v>
      </c>
      <c r="I230" s="258" t="b">
        <f>IF(E230="Grupo 1",IF(AND(D230&gt;=$C$1,D230&lt;F230),0.75,IF(AND(D230&gt;=F230,D230&lt;H230),1,IF(D230&gt;=H230,1))))</f>
        <v>0</v>
      </c>
      <c r="J230" s="258" t="b">
        <f>IF(E230="Grupo 2",IF(J230&lt;=0,0,IF(AND(J230&gt;0,J230&lt;0.25),0.25,IF(AND(J230&gt;=0.25,J230&lt;0.5),0.5,IF(AND(J230&gt;=0.5,J230&lt;0.75),0.75,IF(AND(J230&gt;=0.75,J230&lt;1),1,1))))))</f>
        <v>0</v>
      </c>
      <c r="K230" s="258">
        <f>IF(E230="Intermediário", MAX(0, MIN(1, (Tabela746[[#This Row],[TCC 2024 (N)]]-Tabela746[[#This Row],[Linha de Base 2024 (N) ]])/(Tabela746[[#This Row],[Meta 2024 (N)]]-Tabela746[[#This Row],[Linha de Base 2024 (N) ]]))), "FALSO")</f>
        <v>1</v>
      </c>
      <c r="L230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30" s="259">
        <f>SUM(Tabela746[[#This Row],[ICM Atribuído - Grupo 1]:[ICM Atribuído - Grupo 4]])</f>
        <v>1</v>
      </c>
      <c r="N230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230" s="258">
        <f>IF(Tabela746[[#This Row],[APLICANDO FORMULA GRUPO 3 - ENQUADRAMENTO]]&lt;0,0,Tabela746[[#This Row],[APLICANDO FORMULA GRUPO 3 - ENQUADRAMENTO]])</f>
        <v>1</v>
      </c>
    </row>
    <row r="231" spans="1:15">
      <c r="A231" s="380">
        <v>289</v>
      </c>
      <c r="B231" s="408" t="s">
        <v>212</v>
      </c>
      <c r="C231" s="381">
        <v>0.56351001939237233</v>
      </c>
      <c r="D231" s="258">
        <f t="shared" si="9"/>
        <v>56.351001939237236</v>
      </c>
      <c r="E231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Intermediário</v>
      </c>
      <c r="F231" s="393">
        <v>51.502145922746777</v>
      </c>
      <c r="G231" s="394">
        <f>Tabela746[[#This Row],[Meta 2024 (N)]]*$E$6</f>
        <v>34.569470000000003</v>
      </c>
      <c r="H231" s="395">
        <v>53.183799999999998</v>
      </c>
      <c r="I231" s="258" t="b">
        <f>IF(E231="Grupo 1",IF(AND(D231&gt;=$C$1,D231&lt;F231),0.75,IF(AND(D231&gt;=F231,D231&lt;H231),1,IF(D231&gt;=H231,1))))</f>
        <v>0</v>
      </c>
      <c r="J231" s="258" t="b">
        <f>IF(E231="Grupo 2",IF(J231&lt;=0,0,IF(AND(J231&gt;0,J231&lt;0.25),0.25,IF(AND(J231&gt;=0.25,J231&lt;0.5),0.5,IF(AND(J231&gt;=0.5,J231&lt;0.75),0.75,IF(AND(J231&gt;=0.75,J231&lt;1),1,1))))))</f>
        <v>0</v>
      </c>
      <c r="K231" s="258">
        <f>IF(E231="Intermediário", MAX(0, MIN(1, (Tabela746[[#This Row],[TCC 2024 (N)]]-Tabela746[[#This Row],[Linha de Base 2024 (N) ]])/(Tabela746[[#This Row],[Meta 2024 (N)]]-Tabela746[[#This Row],[Linha de Base 2024 (N) ]]))), "FALSO")</f>
        <v>1</v>
      </c>
      <c r="L231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31" s="259">
        <f>SUM(Tabela746[[#This Row],[ICM Atribuído - Grupo 1]:[ICM Atribuído - Grupo 4]])</f>
        <v>1</v>
      </c>
      <c r="N231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231" s="258">
        <f>IF(Tabela746[[#This Row],[APLICANDO FORMULA GRUPO 3 - ENQUADRAMENTO]]&lt;0,0,Tabela746[[#This Row],[APLICANDO FORMULA GRUPO 3 - ENQUADRAMENTO]])</f>
        <v>1</v>
      </c>
    </row>
    <row r="232" spans="1:15">
      <c r="A232" s="385">
        <v>293</v>
      </c>
      <c r="B232" s="409" t="s">
        <v>17</v>
      </c>
      <c r="C232" s="381">
        <v>0.79926470588235299</v>
      </c>
      <c r="D232" s="258">
        <f t="shared" si="9"/>
        <v>79.926470588235304</v>
      </c>
      <c r="E232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232" s="393">
        <v>85.625</v>
      </c>
      <c r="G232" s="394">
        <f>Tabela746[[#This Row],[Meta 2024 (N)]]*$E$6</f>
        <v>56.136340000000004</v>
      </c>
      <c r="H232" s="395">
        <v>86.363600000000005</v>
      </c>
      <c r="I232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0.8</v>
      </c>
      <c r="J232" s="258" t="b">
        <f>IF(E232="Excelência",
   IF(Tabela746[[#This Row],[TCC 2024 (N)]]&gt;=Tabela746[[#This Row],[TCC 2023(n)]],1,
      IF(Tabela746[[#This Row],[TCC 2024 (N)]]&gt;=C226,0.95,
         IF(AND(Tabela746[[#This Row],[TCC 2024 (N)]]&lt;Tabela746[[#This Row],[TCC 2024]], Tabela746[[#This Row],[TCC 2024 (N)]]&gt;E225),0.85,
            IF(AND(Tabela746[[#This Row],[TCC 2024 (N)]]&lt;E225, Tabela746[[#This Row],[TCC 2024 (N)]]&gt;=C225),0.8, FALSE)
         )
      )
   )
)</f>
        <v>0</v>
      </c>
      <c r="K232" s="258" t="str">
        <f>IF(E232="Intermediário", MAX(0, MIN(1, (Tabela746[[#This Row],[TCC 2024 (N)]]-Tabela746[[#This Row],[Linha de Base 2024 (N) ]])/(Tabela746[[#This Row],[Meta 2024 (N)]]-Tabela746[[#This Row],[Linha de Base 2024 (N) ]]))), "FALSO")</f>
        <v>FALSO</v>
      </c>
      <c r="L232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32" s="259">
        <f>SUM(Tabela746[[#This Row],[ICM Atribuído - Grupo 1]:[ICM Atribuído - Grupo 4]])</f>
        <v>0.8</v>
      </c>
      <c r="N232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0.8</v>
      </c>
      <c r="O232" s="258">
        <f>IF(Tabela746[[#This Row],[APLICANDO FORMULA GRUPO 3 - ENQUADRAMENTO]]&lt;0,0,Tabela746[[#This Row],[APLICANDO FORMULA GRUPO 3 - ENQUADRAMENTO]])</f>
        <v>0.8</v>
      </c>
    </row>
    <row r="233" spans="1:15">
      <c r="A233" s="380">
        <v>295</v>
      </c>
      <c r="B233" s="408" t="s">
        <v>11</v>
      </c>
      <c r="C233" s="381">
        <v>0.78</v>
      </c>
      <c r="D233" s="258">
        <f t="shared" si="9"/>
        <v>78</v>
      </c>
      <c r="E233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Referência</v>
      </c>
      <c r="F233" s="393">
        <v>83.928571428571431</v>
      </c>
      <c r="G233" s="394">
        <f>Tabela746[[#This Row],[Meta 2024 (N)]]*$E$6</f>
        <v>55.13391</v>
      </c>
      <c r="H233" s="395">
        <v>84.821399999999997</v>
      </c>
      <c r="I233" s="258">
        <f>IF(Tabela746[[#This Row],[Classificação]]="Referência",
    IF(Tabela746[[#This Row],[TCC 2024 (N)]]&gt;=Tabela746[[#This Row],[TCC 2023(n)]],1,
        IF(Tabela746[[#This Row],[TCC 2024 (N)]]&gt;=$C$5,0.95,
            IF(AND(Tabela746[[#This Row],[TCC 2024 (N)]]&gt;$C$7, Tabela746[[#This Row],[TCC 2024 (N)]]&lt;$C$5),0.85,
                IF(AND(Tabela746[[#This Row],[TCC 2024 (N)]]&gt;=$C$4, Tabela746[[#This Row],[TCC 2024 (N)]]&lt;$C$7),0.8,0)
            )
        )
    ),FALSE)</f>
        <v>0.8</v>
      </c>
      <c r="J233" s="258" t="b">
        <f>IF(E233="Excelência",
   IF(Tabela746[[#This Row],[TCC 2024 (N)]]&gt;=Tabela746[[#This Row],[TCC 2023(n)]],1,
      IF(Tabela746[[#This Row],[TCC 2024 (N)]]&gt;=C227,0.95,
         IF(AND(Tabela746[[#This Row],[TCC 2024 (N)]]&lt;Tabela746[[#This Row],[TCC 2024]], Tabela746[[#This Row],[TCC 2024 (N)]]&gt;E226),0.85,
            IF(AND(Tabela746[[#This Row],[TCC 2024 (N)]]&lt;E226, Tabela746[[#This Row],[TCC 2024 (N)]]&gt;=C226),0.8, FALSE)
         )
      )
   )
)</f>
        <v>0</v>
      </c>
      <c r="K233" s="258" t="str">
        <f>IF(E233="Intermediário", MAX(0, MIN(1, (Tabela746[[#This Row],[TCC 2024 (N)]]-Tabela746[[#This Row],[Linha de Base 2024 (N) ]])/(Tabela746[[#This Row],[Meta 2024 (N)]]-Tabela746[[#This Row],[Linha de Base 2024 (N) ]]))), "FALSO")</f>
        <v>FALSO</v>
      </c>
      <c r="L233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33" s="259">
        <f>SUM(Tabela746[[#This Row],[ICM Atribuído - Grupo 1]:[ICM Atribuído - Grupo 4]])</f>
        <v>0.8</v>
      </c>
      <c r="N233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0.8</v>
      </c>
      <c r="O233" s="258">
        <f>IF(Tabela746[[#This Row],[APLICANDO FORMULA GRUPO 3 - ENQUADRAMENTO]]&lt;0,0,Tabela746[[#This Row],[APLICANDO FORMULA GRUPO 3 - ENQUADRAMENTO]])</f>
        <v>0.8</v>
      </c>
    </row>
    <row r="234" spans="1:15">
      <c r="A234" s="385">
        <v>300</v>
      </c>
      <c r="B234" s="409" t="s">
        <v>223</v>
      </c>
      <c r="C234" s="381">
        <v>0.72445462478184997</v>
      </c>
      <c r="D234" s="258">
        <f t="shared" si="9"/>
        <v>72.445462478184993</v>
      </c>
      <c r="E234" s="382" t="str">
        <f>IF(Tabela746[[#This Row],[TCC 2024 (N)]]&gt;=$C$4,"Referência",  IF(AND(Tabela746[[#This Row],[TCC 2024 (N)]]&gt;=$C$1,Tabela746[[#This Row],[TCC 2024 (N)]]&lt;$C$4),"Excelência", IF(AND(Tabela746[[#This Row],[TCC 2024 (N)]]&lt;$C$1),"Intermediário","Básico")))</f>
        <v>Excelência</v>
      </c>
      <c r="F234" s="393">
        <v>58.278145695364238</v>
      </c>
      <c r="G234" s="394">
        <f>Tabela746[[#This Row],[Meta 2024 (N)]]*$E$6</f>
        <v>38.57347</v>
      </c>
      <c r="H234" s="395">
        <v>59.343800000000002</v>
      </c>
      <c r="I234" s="258" t="b">
        <f>IF(E234="Grupo 1",IF(AND(D234&gt;=$C$1,D234&lt;F234),0.75,IF(AND(D234&gt;=F234,D234&lt;H234),1,IF(D234&gt;=H234,1))))</f>
        <v>0</v>
      </c>
      <c r="J234" s="258">
        <f>IF(E234="Excelência",
   IF(Tabela746[[#This Row],[TCC 2024 (N)]]&gt;=Tabela746[[#This Row],[TCC 2023(n)]],1,
      IF(Tabela746[[#This Row],[TCC 2024 (N)]]&gt;=$C$6,0.9,
         IF(AND(Tabela746[[#This Row],[TCC 2024 (N)]]&lt;$C$6, Tabela746[[#This Row],[TCC 2024 (N)]]&gt;$C$9),0.85,
            IF(AND(Tabela746[[#This Row],[TCC 2024 (N)]]&lt;$C$9, Tabela746[[#This Row],[TCC 2024 (N)]]&gt;=$C$8),0.8,
              IF(AND(Tabela746[[#This Row],[TCC 2024 (N)]]&lt;$C$8, Tabela746[[#This Row],[TCC 2024 (N)]]&gt;=$C$1),0.7, FALSE))))) )</f>
        <v>1</v>
      </c>
      <c r="K234" s="258" t="str">
        <f>IF(E234="Intermediário", MAX(0, MIN(1, (Tabela746[[#This Row],[TCC 2024 (N)]]-Tabela746[[#This Row],[Linha de Base 2024 (N) ]])/(Tabela746[[#This Row],[Meta 2024 (N)]]-Tabela746[[#This Row],[Linha de Base 2024 (N) ]]))), "FALSO")</f>
        <v>FALSO</v>
      </c>
      <c r="L234" s="258" t="b">
        <f>IF(Tabela746[[#This Row],[Classificação]]="Básico",MIN(1, (Tabela746[[#This Row],[TCC 2024 (N)]]-Tabela746[[#This Row],[Linha de Base 2024 (N) ]])/(Tabela746[[#This Row],[Meta 2024 (N)]]-Tabela746[[#This Row],[Linha de Base 2024 (N) ]])),FALSE)</f>
        <v>0</v>
      </c>
      <c r="M234" s="259">
        <f>SUM(Tabela746[[#This Row],[ICM Atribuído - Grupo 1]:[ICM Atribuído - Grupo 4]])</f>
        <v>1</v>
      </c>
      <c r="N234" s="258">
        <f xml:space="preserve"> IF(Tabela746[[#This Row],[Classificação]]="Intermediário",
      IF(Tabela746[[#This Row],[ORGANIZANDO VALORES DO ICM DE 0 A 1]]&gt; 0.75, 1,
      IF(Tabela746[[#This Row],[ORGANIZANDO VALORES DO ICM DE 0 A 1]] &gt;= 0.5, 0.75,
      IF(Tabela746[[#This Row],[ORGANIZANDO VALORES DO ICM DE 0 A 1]] &gt;= 0.25, 0.5,
      IF(Tabela746[[#This Row],[ORGANIZANDO VALORES DO ICM DE 0 A 1]] &gt; 0, 0.25, 0)))),
   Tabela746[[#This Row],[ORGANIZANDO VALORES DO ICM DE 0 A 1]]
)</f>
        <v>1</v>
      </c>
      <c r="O234" s="258">
        <f>IF(Tabela746[[#This Row],[APLICANDO FORMULA GRUPO 3 - ENQUADRAMENTO]]&lt;0,0,Tabela746[[#This Row],[APLICANDO FORMULA GRUPO 3 - ENQUADRAMENTO]])</f>
        <v>1</v>
      </c>
    </row>
    <row r="235" spans="1:15">
      <c r="A235" s="396">
        <v>302</v>
      </c>
      <c r="B235" s="412" t="s">
        <v>229</v>
      </c>
      <c r="C235" s="397"/>
      <c r="D235" s="398"/>
      <c r="E235" s="399"/>
      <c r="F235" s="400"/>
      <c r="G235" s="401"/>
      <c r="H235" s="401"/>
      <c r="I235" s="402"/>
      <c r="J235" s="402"/>
      <c r="K235" s="398"/>
      <c r="L235" s="403"/>
      <c r="M235" s="398"/>
      <c r="N235" s="398"/>
      <c r="O235" s="404"/>
    </row>
    <row r="236" spans="1:15">
      <c r="A236" s="405">
        <v>303</v>
      </c>
      <c r="B236" s="413" t="s">
        <v>231</v>
      </c>
      <c r="C236" s="397"/>
      <c r="D236" s="398"/>
      <c r="E236" s="399"/>
      <c r="F236" s="400"/>
      <c r="G236" s="400"/>
      <c r="H236" s="400"/>
      <c r="I236" s="398"/>
      <c r="J236" s="398"/>
      <c r="K236" s="398"/>
      <c r="L236" s="403"/>
      <c r="M236" s="398"/>
      <c r="N236" s="398"/>
      <c r="O236" s="404"/>
    </row>
    <row r="237" spans="1:15">
      <c r="A237" s="396">
        <v>304</v>
      </c>
      <c r="B237" s="412" t="s">
        <v>232</v>
      </c>
      <c r="C237" s="398"/>
      <c r="D237" s="398"/>
      <c r="E237" s="399"/>
      <c r="F237" s="400"/>
      <c r="G237" s="400"/>
      <c r="H237" s="400"/>
      <c r="I237" s="398"/>
      <c r="J237" s="398"/>
      <c r="K237" s="398"/>
      <c r="L237" s="403"/>
      <c r="M237" s="398"/>
      <c r="N237" s="398"/>
      <c r="O237" s="404"/>
    </row>
    <row r="238" spans="1:15">
      <c r="A238" s="405">
        <v>306</v>
      </c>
      <c r="B238" s="413" t="s">
        <v>468</v>
      </c>
      <c r="C238" s="398"/>
      <c r="D238" s="398"/>
      <c r="E238" s="399"/>
      <c r="F238" s="400"/>
      <c r="G238" s="400"/>
      <c r="H238" s="400"/>
      <c r="I238" s="398"/>
      <c r="J238" s="398"/>
      <c r="K238" s="398"/>
      <c r="L238" s="403"/>
      <c r="M238" s="398"/>
      <c r="N238" s="398"/>
      <c r="O238" s="404"/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93838-4140-40C9-8C2D-7A1FDE68306F}">
  <sheetPr>
    <tabColor theme="5" tint="-0.249977111117893"/>
  </sheetPr>
  <dimension ref="A1:AA232"/>
  <sheetViews>
    <sheetView showGridLines="0" topLeftCell="L1" zoomScale="85" zoomScaleNormal="85" workbookViewId="0">
      <selection activeCell="H5" sqref="H5:H232"/>
    </sheetView>
  </sheetViews>
  <sheetFormatPr defaultRowHeight="15.75"/>
  <cols>
    <col min="1" max="1" width="13.7109375" style="234" bestFit="1" customWidth="1"/>
    <col min="2" max="2" width="42.140625" style="234" bestFit="1" customWidth="1"/>
    <col min="3" max="6" width="9.28515625" style="234" bestFit="1" customWidth="1"/>
    <col min="7" max="7" width="15.7109375" style="234" customWidth="1"/>
    <col min="8" max="8" width="18.85546875" style="234" customWidth="1"/>
    <col min="9" max="9" width="17.28515625" style="234" customWidth="1"/>
    <col min="10" max="11" width="22" style="234" customWidth="1"/>
    <col min="12" max="12" width="18.42578125" style="234" customWidth="1"/>
    <col min="13" max="13" width="17.5703125" style="234" customWidth="1"/>
    <col min="14" max="14" width="24" style="234" customWidth="1"/>
    <col min="15" max="15" width="15.140625" style="234" customWidth="1"/>
    <col min="16" max="16" width="20.42578125" style="234" customWidth="1"/>
    <col min="17" max="17" width="19.140625" style="234" customWidth="1"/>
    <col min="18" max="18" width="21.42578125" style="234" customWidth="1"/>
    <col min="19" max="19" width="25.7109375" style="234" customWidth="1"/>
    <col min="20" max="20" width="20.5703125" style="234" customWidth="1"/>
    <col min="21" max="21" width="19.85546875" style="234" customWidth="1"/>
    <col min="22" max="22" width="17.140625" style="234" customWidth="1"/>
    <col min="23" max="23" width="17.7109375" style="234" customWidth="1"/>
    <col min="24" max="24" width="9.140625" style="234"/>
    <col min="25" max="25" width="15" style="234" customWidth="1"/>
    <col min="26" max="26" width="9.28515625" style="234" bestFit="1" customWidth="1"/>
    <col min="27" max="27" width="9.42578125" style="234" bestFit="1" customWidth="1"/>
    <col min="28" max="16384" width="9.140625" style="234"/>
  </cols>
  <sheetData>
    <row r="1" spans="1:27">
      <c r="A1" s="414" t="s">
        <v>553</v>
      </c>
      <c r="B1" s="414">
        <v>50</v>
      </c>
      <c r="V1" s="231"/>
      <c r="W1" s="231"/>
    </row>
    <row r="2" spans="1:27">
      <c r="A2" s="414" t="s">
        <v>554</v>
      </c>
      <c r="B2" s="414">
        <v>15</v>
      </c>
      <c r="V2" s="231"/>
      <c r="W2" s="231"/>
    </row>
    <row r="4" spans="1:27" ht="110.25">
      <c r="A4" s="415" t="s">
        <v>555</v>
      </c>
      <c r="B4" s="415" t="s">
        <v>1</v>
      </c>
      <c r="C4" s="415" t="s">
        <v>604</v>
      </c>
      <c r="D4" s="415" t="s">
        <v>605</v>
      </c>
      <c r="E4" s="415" t="s">
        <v>606</v>
      </c>
      <c r="F4" s="415" t="s">
        <v>602</v>
      </c>
      <c r="G4" s="415" t="s">
        <v>556</v>
      </c>
      <c r="H4" s="415" t="s">
        <v>553</v>
      </c>
      <c r="I4" s="416" t="s">
        <v>557</v>
      </c>
      <c r="J4" s="416" t="s">
        <v>558</v>
      </c>
      <c r="K4" s="416" t="s">
        <v>559</v>
      </c>
      <c r="L4" s="416" t="s">
        <v>560</v>
      </c>
      <c r="M4" s="416" t="s">
        <v>561</v>
      </c>
      <c r="N4" s="416" t="s">
        <v>562</v>
      </c>
      <c r="O4" s="416" t="s">
        <v>563</v>
      </c>
      <c r="P4" s="416" t="s">
        <v>564</v>
      </c>
      <c r="Q4" s="417" t="s">
        <v>565</v>
      </c>
      <c r="R4" s="417" t="s">
        <v>566</v>
      </c>
      <c r="S4" s="417" t="s">
        <v>567</v>
      </c>
      <c r="T4" s="417" t="s">
        <v>654</v>
      </c>
      <c r="U4" s="417" t="s">
        <v>655</v>
      </c>
      <c r="V4" s="417" t="s">
        <v>640</v>
      </c>
      <c r="W4" s="417" t="s">
        <v>568</v>
      </c>
    </row>
    <row r="5" spans="1:27">
      <c r="A5" s="418">
        <v>6</v>
      </c>
      <c r="B5" s="419" t="s">
        <v>160</v>
      </c>
      <c r="C5" s="418">
        <v>161</v>
      </c>
      <c r="D5" s="418">
        <v>70</v>
      </c>
      <c r="E5" s="418">
        <v>97</v>
      </c>
      <c r="F5" s="418">
        <v>116</v>
      </c>
      <c r="G5" s="418">
        <f t="shared" ref="G5:G68" si="0">SUM(C5:F5)</f>
        <v>444</v>
      </c>
      <c r="H5" s="420">
        <v>0.87919999999999998</v>
      </c>
      <c r="I5" s="421">
        <f>Tabela3[[#This Row],[TOTAL DE ALUNOS ABAIXO DO BÁSICO]]/Tabela3[[#This Row],[TOTAL DE ALUNOS]]*100</f>
        <v>36.261261261261261</v>
      </c>
      <c r="J5" s="421">
        <f>Tabela3[[#This Row],[Abaixo do Básico]]*1</f>
        <v>36.261261261261261</v>
      </c>
      <c r="K5" s="421">
        <f>Tabela3[[#This Row],[TOTAL DE ALUNOS NO BÁSICO]]/Tabela3[[#This Row],[TOTAL DE ALUNOS]]*100</f>
        <v>15.765765765765765</v>
      </c>
      <c r="L5" s="421">
        <f>Tabela3[[#This Row],[Básico]]*2</f>
        <v>31.531531531531531</v>
      </c>
      <c r="M5" s="421">
        <f>Tabela3[[#This Row],[TOTAL DE ALUNOS ADEQUADO]]/Tabela3[[#This Row],[TOTAL DE ALUNOS]]*100</f>
        <v>21.846846846846844</v>
      </c>
      <c r="N5" s="421">
        <f>Tabela3[[#This Row],[Adequado]]*3</f>
        <v>65.540540540540533</v>
      </c>
      <c r="O5" s="421">
        <f>Tabela3[[#This Row],[TOTAL DE ALUNOS AVANÇADO]]/Tabela3[[#This Row],[TOTAL DE ALUNOS]]*100</f>
        <v>26.126126126126124</v>
      </c>
      <c r="P5" s="422">
        <f>Tabela3[[#This Row],[Avançado]]*4</f>
        <v>104.5045045045045</v>
      </c>
      <c r="Q5" s="422">
        <f t="shared" ref="Q5:Q68" si="1">SUM(J5,L5,N5,P5)</f>
        <v>237.83783783783781</v>
      </c>
      <c r="R5" s="423">
        <v>50</v>
      </c>
      <c r="S5" s="422">
        <f t="shared" ref="S5:S68" si="2">IF(R5&gt;=$B$1,Q5,(R5*Q5)/100)</f>
        <v>237.83783783783781</v>
      </c>
      <c r="T5" s="421">
        <f>Tabela3[[#This Row],[Meta 2024]]*0.65</f>
        <v>145.31458499999999</v>
      </c>
      <c r="U5" s="421">
        <v>223.5609</v>
      </c>
      <c r="V5" s="422">
        <f t="shared" ref="V5:V68" si="3">1-((U5-S5)/(U5-T5))</f>
        <v>1.1824614723113518</v>
      </c>
      <c r="W5" s="424">
        <f t="shared" ref="W5:W68" si="4">IF(V5&lt;0,0,IF(V5&lt;=1,V5,1))</f>
        <v>1</v>
      </c>
      <c r="Y5" s="230" t="s">
        <v>723</v>
      </c>
      <c r="Z5" s="230" t="s">
        <v>724</v>
      </c>
      <c r="AA5" s="303" t="s">
        <v>636</v>
      </c>
    </row>
    <row r="6" spans="1:27">
      <c r="A6" s="418">
        <v>7</v>
      </c>
      <c r="B6" s="419" t="s">
        <v>64</v>
      </c>
      <c r="C6" s="418">
        <v>56</v>
      </c>
      <c r="D6" s="418">
        <v>29</v>
      </c>
      <c r="E6" s="418">
        <v>47</v>
      </c>
      <c r="F6" s="418">
        <v>74</v>
      </c>
      <c r="G6" s="418">
        <f t="shared" si="0"/>
        <v>206</v>
      </c>
      <c r="H6" s="420">
        <v>0.89959999999999996</v>
      </c>
      <c r="I6" s="421">
        <f>Tabela3[[#This Row],[TOTAL DE ALUNOS ABAIXO DO BÁSICO]]/Tabela3[[#This Row],[TOTAL DE ALUNOS]]*100</f>
        <v>27.184466019417474</v>
      </c>
      <c r="J6" s="421">
        <f>Tabela3[[#This Row],[Abaixo do Básico]]*1</f>
        <v>27.184466019417474</v>
      </c>
      <c r="K6" s="421">
        <f>Tabela3[[#This Row],[TOTAL DE ALUNOS NO BÁSICO]]/Tabela3[[#This Row],[TOTAL DE ALUNOS]]*100</f>
        <v>14.077669902912621</v>
      </c>
      <c r="L6" s="421">
        <f>Tabela3[[#This Row],[Básico]]*2</f>
        <v>28.155339805825243</v>
      </c>
      <c r="M6" s="421">
        <f>Tabela3[[#This Row],[TOTAL DE ALUNOS ADEQUADO]]/Tabela3[[#This Row],[TOTAL DE ALUNOS]]*100</f>
        <v>22.815533980582526</v>
      </c>
      <c r="N6" s="421">
        <f>Tabela3[[#This Row],[Adequado]]*3</f>
        <v>68.446601941747574</v>
      </c>
      <c r="O6" s="421">
        <f>Tabela3[[#This Row],[TOTAL DE ALUNOS AVANÇADO]]/Tabela3[[#This Row],[TOTAL DE ALUNOS]]*100</f>
        <v>35.922330097087382</v>
      </c>
      <c r="P6" s="422">
        <f>Tabela3[[#This Row],[Avançado]]*4</f>
        <v>143.68932038834953</v>
      </c>
      <c r="Q6" s="422">
        <f t="shared" si="1"/>
        <v>267.47572815533982</v>
      </c>
      <c r="R6" s="423">
        <f>Tabela3[[#This Row],[Participação]]*100</f>
        <v>89.96</v>
      </c>
      <c r="S6" s="422">
        <f t="shared" si="2"/>
        <v>267.47572815533982</v>
      </c>
      <c r="T6" s="421">
        <f>Tabela3[[#This Row],[Meta 2024]]*0.65</f>
        <v>177.52020000000002</v>
      </c>
      <c r="U6" s="421">
        <v>273.108</v>
      </c>
      <c r="V6" s="422">
        <f t="shared" si="3"/>
        <v>0.94107750314726168</v>
      </c>
      <c r="W6" s="424">
        <f t="shared" si="4"/>
        <v>0.94107750314726168</v>
      </c>
      <c r="Y6" s="311">
        <v>1</v>
      </c>
      <c r="Z6" s="312">
        <f>COUNTIF(Tabela3[ICM], "=1")</f>
        <v>166</v>
      </c>
      <c r="AA6" s="313">
        <f>Z6/$Z$15</f>
        <v>0.72807017543859653</v>
      </c>
    </row>
    <row r="7" spans="1:27">
      <c r="A7" s="418">
        <v>8</v>
      </c>
      <c r="B7" s="419" t="s">
        <v>60</v>
      </c>
      <c r="C7" s="418">
        <v>66</v>
      </c>
      <c r="D7" s="418">
        <v>28</v>
      </c>
      <c r="E7" s="418">
        <v>66</v>
      </c>
      <c r="F7" s="418">
        <v>103</v>
      </c>
      <c r="G7" s="418">
        <f t="shared" si="0"/>
        <v>263</v>
      </c>
      <c r="H7" s="420">
        <v>0.88549999999999995</v>
      </c>
      <c r="I7" s="421">
        <f>Tabela3[[#This Row],[TOTAL DE ALUNOS ABAIXO DO BÁSICO]]/Tabela3[[#This Row],[TOTAL DE ALUNOS]]*100</f>
        <v>25.095057034220531</v>
      </c>
      <c r="J7" s="421">
        <f>Tabela3[[#This Row],[Abaixo do Básico]]*1</f>
        <v>25.095057034220531</v>
      </c>
      <c r="K7" s="421">
        <f>Tabela3[[#This Row],[TOTAL DE ALUNOS NO BÁSICO]]/Tabela3[[#This Row],[TOTAL DE ALUNOS]]*100</f>
        <v>10.646387832699618</v>
      </c>
      <c r="L7" s="421">
        <f>Tabela3[[#This Row],[Básico]]*2</f>
        <v>21.292775665399237</v>
      </c>
      <c r="M7" s="421">
        <f>Tabela3[[#This Row],[TOTAL DE ALUNOS ADEQUADO]]/Tabela3[[#This Row],[TOTAL DE ALUNOS]]*100</f>
        <v>25.095057034220531</v>
      </c>
      <c r="N7" s="421">
        <f>Tabela3[[#This Row],[Adequado]]*3</f>
        <v>75.285171102661593</v>
      </c>
      <c r="O7" s="421">
        <f>Tabela3[[#This Row],[TOTAL DE ALUNOS AVANÇADO]]/Tabela3[[#This Row],[TOTAL DE ALUNOS]]*100</f>
        <v>39.163498098859314</v>
      </c>
      <c r="P7" s="422">
        <f>Tabela3[[#This Row],[Avançado]]*4</f>
        <v>156.65399239543726</v>
      </c>
      <c r="Q7" s="422">
        <f t="shared" si="1"/>
        <v>278.32699619771859</v>
      </c>
      <c r="R7" s="423">
        <f>Tabela3[[#This Row],[Participação]]*100</f>
        <v>88.55</v>
      </c>
      <c r="S7" s="422">
        <f t="shared" si="2"/>
        <v>278.32699619771859</v>
      </c>
      <c r="T7" s="421">
        <f>Tabela3[[#This Row],[Meta 2024]]*0.65</f>
        <v>186.94689</v>
      </c>
      <c r="U7" s="421">
        <v>287.61059999999998</v>
      </c>
      <c r="V7" s="422">
        <f t="shared" si="3"/>
        <v>0.90777606147954026</v>
      </c>
      <c r="W7" s="424">
        <f t="shared" si="4"/>
        <v>0.90777606147954026</v>
      </c>
      <c r="Y7" s="303" t="s">
        <v>725</v>
      </c>
      <c r="Z7" s="312">
        <f>COUNTIFS(Tabela3[ICM], "&gt;=0,9",Tabela3[ICM], "&lt;1")</f>
        <v>23</v>
      </c>
      <c r="AA7" s="313">
        <f t="shared" ref="AA7:AA14" si="5">Z7/$Z$15</f>
        <v>0.10087719298245613</v>
      </c>
    </row>
    <row r="8" spans="1:27">
      <c r="A8" s="418">
        <v>9</v>
      </c>
      <c r="B8" s="419" t="s">
        <v>57</v>
      </c>
      <c r="C8" s="418">
        <v>76</v>
      </c>
      <c r="D8" s="418">
        <v>14</v>
      </c>
      <c r="E8" s="418">
        <v>43</v>
      </c>
      <c r="F8" s="418">
        <v>32</v>
      </c>
      <c r="G8" s="418">
        <f t="shared" si="0"/>
        <v>165</v>
      </c>
      <c r="H8" s="420">
        <v>0.80100000000000005</v>
      </c>
      <c r="I8" s="421">
        <f>Tabela3[[#This Row],[TOTAL DE ALUNOS ABAIXO DO BÁSICO]]/Tabela3[[#This Row],[TOTAL DE ALUNOS]]*100</f>
        <v>46.060606060606062</v>
      </c>
      <c r="J8" s="421">
        <f>Tabela3[[#This Row],[Abaixo do Básico]]*1</f>
        <v>46.060606060606062</v>
      </c>
      <c r="K8" s="421">
        <f>Tabela3[[#This Row],[TOTAL DE ALUNOS NO BÁSICO]]/Tabela3[[#This Row],[TOTAL DE ALUNOS]]*100</f>
        <v>8.4848484848484862</v>
      </c>
      <c r="L8" s="421">
        <f>Tabela3[[#This Row],[Básico]]*2</f>
        <v>16.969696969696972</v>
      </c>
      <c r="M8" s="421">
        <f>Tabela3[[#This Row],[TOTAL DE ALUNOS ADEQUADO]]/Tabela3[[#This Row],[TOTAL DE ALUNOS]]*100</f>
        <v>26.060606060606062</v>
      </c>
      <c r="N8" s="421">
        <f>Tabela3[[#This Row],[Adequado]]*3</f>
        <v>78.181818181818187</v>
      </c>
      <c r="O8" s="421">
        <f>Tabela3[[#This Row],[TOTAL DE ALUNOS AVANÇADO]]/Tabela3[[#This Row],[TOTAL DE ALUNOS]]*100</f>
        <v>19.393939393939394</v>
      </c>
      <c r="P8" s="422">
        <f>Tabela3[[#This Row],[Avançado]]*4</f>
        <v>77.575757575757578</v>
      </c>
      <c r="Q8" s="422">
        <f t="shared" si="1"/>
        <v>218.78787878787881</v>
      </c>
      <c r="R8" s="423">
        <f>Tabela3[[#This Row],[Participação]]*100</f>
        <v>80.100000000000009</v>
      </c>
      <c r="S8" s="422">
        <f t="shared" si="2"/>
        <v>218.78787878787881</v>
      </c>
      <c r="T8" s="421">
        <f>Tabela3[[#This Row],[Meta 2024]]*0.65</f>
        <v>142.05854000000002</v>
      </c>
      <c r="U8" s="421">
        <v>218.55160000000001</v>
      </c>
      <c r="V8" s="422">
        <f t="shared" si="3"/>
        <v>1.0030888918272953</v>
      </c>
      <c r="W8" s="424">
        <f t="shared" si="4"/>
        <v>1</v>
      </c>
      <c r="Y8" s="303" t="s">
        <v>726</v>
      </c>
      <c r="Z8" s="312">
        <f>COUNTIFS(Tabela3[ICM], "&gt;=0,8", Tabela3[ICM], "&lt;0,9")</f>
        <v>12</v>
      </c>
      <c r="AA8" s="313">
        <f t="shared" si="5"/>
        <v>5.2631578947368418E-2</v>
      </c>
    </row>
    <row r="9" spans="1:27">
      <c r="A9" s="418">
        <v>10</v>
      </c>
      <c r="B9" s="419" t="s">
        <v>39</v>
      </c>
      <c r="C9" s="418">
        <v>161</v>
      </c>
      <c r="D9" s="418">
        <v>68</v>
      </c>
      <c r="E9" s="418">
        <v>122</v>
      </c>
      <c r="F9" s="418">
        <v>161</v>
      </c>
      <c r="G9" s="418">
        <f t="shared" si="0"/>
        <v>512</v>
      </c>
      <c r="H9" s="420">
        <v>0.8649</v>
      </c>
      <c r="I9" s="421">
        <f>Tabela3[[#This Row],[TOTAL DE ALUNOS ABAIXO DO BÁSICO]]/Tabela3[[#This Row],[TOTAL DE ALUNOS]]*100</f>
        <v>31.4453125</v>
      </c>
      <c r="J9" s="421">
        <f>Tabela3[[#This Row],[Abaixo do Básico]]*1</f>
        <v>31.4453125</v>
      </c>
      <c r="K9" s="421">
        <f>Tabela3[[#This Row],[TOTAL DE ALUNOS NO BÁSICO]]/Tabela3[[#This Row],[TOTAL DE ALUNOS]]*100</f>
        <v>13.28125</v>
      </c>
      <c r="L9" s="421">
        <f>Tabela3[[#This Row],[Básico]]*2</f>
        <v>26.5625</v>
      </c>
      <c r="M9" s="421">
        <f>Tabela3[[#This Row],[TOTAL DE ALUNOS ADEQUADO]]/Tabela3[[#This Row],[TOTAL DE ALUNOS]]*100</f>
        <v>23.828125</v>
      </c>
      <c r="N9" s="421">
        <f>Tabela3[[#This Row],[Adequado]]*3</f>
        <v>71.484375</v>
      </c>
      <c r="O9" s="421">
        <f>Tabela3[[#This Row],[TOTAL DE ALUNOS AVANÇADO]]/Tabela3[[#This Row],[TOTAL DE ALUNOS]]*100</f>
        <v>31.4453125</v>
      </c>
      <c r="P9" s="422">
        <f>Tabela3[[#This Row],[Avançado]]*4</f>
        <v>125.78125</v>
      </c>
      <c r="Q9" s="422">
        <f t="shared" si="1"/>
        <v>255.2734375</v>
      </c>
      <c r="R9" s="423">
        <f>Tabela3[[#This Row],[Participação]]*100</f>
        <v>86.49</v>
      </c>
      <c r="S9" s="422">
        <f t="shared" si="2"/>
        <v>255.2734375</v>
      </c>
      <c r="T9" s="421">
        <f>Tabela3[[#This Row],[Meta 2024]]*0.65</f>
        <v>160.56209000000001</v>
      </c>
      <c r="U9" s="421">
        <v>247.01859999999999</v>
      </c>
      <c r="V9" s="422">
        <f t="shared" si="3"/>
        <v>1.0954796521395556</v>
      </c>
      <c r="W9" s="424">
        <f t="shared" si="4"/>
        <v>1</v>
      </c>
      <c r="Y9" s="303" t="s">
        <v>727</v>
      </c>
      <c r="Z9" s="312">
        <f>COUNTIFS(Tabela3[ICM], "&gt;=0,7", Tabela3[ICM], "&lt;0,8")</f>
        <v>12</v>
      </c>
      <c r="AA9" s="313">
        <f t="shared" si="5"/>
        <v>5.2631578947368418E-2</v>
      </c>
    </row>
    <row r="10" spans="1:27">
      <c r="A10" s="418">
        <v>11</v>
      </c>
      <c r="B10" s="419" t="s">
        <v>159</v>
      </c>
      <c r="C10" s="418">
        <v>99</v>
      </c>
      <c r="D10" s="418">
        <v>52</v>
      </c>
      <c r="E10" s="418">
        <v>66</v>
      </c>
      <c r="F10" s="418">
        <v>85</v>
      </c>
      <c r="G10" s="418">
        <f t="shared" si="0"/>
        <v>302</v>
      </c>
      <c r="H10" s="420">
        <v>0.87029999999999996</v>
      </c>
      <c r="I10" s="421">
        <f>Tabela3[[#This Row],[TOTAL DE ALUNOS ABAIXO DO BÁSICO]]/Tabela3[[#This Row],[TOTAL DE ALUNOS]]*100</f>
        <v>32.781456953642383</v>
      </c>
      <c r="J10" s="421">
        <f>Tabela3[[#This Row],[Abaixo do Básico]]*1</f>
        <v>32.781456953642383</v>
      </c>
      <c r="K10" s="421">
        <f>Tabela3[[#This Row],[TOTAL DE ALUNOS NO BÁSICO]]/Tabela3[[#This Row],[TOTAL DE ALUNOS]]*100</f>
        <v>17.218543046357617</v>
      </c>
      <c r="L10" s="421">
        <f>Tabela3[[#This Row],[Básico]]*2</f>
        <v>34.437086092715234</v>
      </c>
      <c r="M10" s="421">
        <f>Tabela3[[#This Row],[TOTAL DE ALUNOS ADEQUADO]]/Tabela3[[#This Row],[TOTAL DE ALUNOS]]*100</f>
        <v>21.85430463576159</v>
      </c>
      <c r="N10" s="421">
        <f>Tabela3[[#This Row],[Adequado]]*3</f>
        <v>65.562913907284766</v>
      </c>
      <c r="O10" s="421">
        <f>Tabela3[[#This Row],[TOTAL DE ALUNOS AVANÇADO]]/Tabela3[[#This Row],[TOTAL DE ALUNOS]]*100</f>
        <v>28.14569536423841</v>
      </c>
      <c r="P10" s="422">
        <f>Tabela3[[#This Row],[Avançado]]*4</f>
        <v>112.58278145695364</v>
      </c>
      <c r="Q10" s="422">
        <f t="shared" si="1"/>
        <v>245.36423841059599</v>
      </c>
      <c r="R10" s="423">
        <f>Tabela3[[#This Row],[Participação]]*100</f>
        <v>87.03</v>
      </c>
      <c r="S10" s="422">
        <f t="shared" si="2"/>
        <v>245.36423841059599</v>
      </c>
      <c r="T10" s="421">
        <f>Tabela3[[#This Row],[Meta 2024]]*0.65</f>
        <v>160.350255</v>
      </c>
      <c r="U10" s="421">
        <v>246.6927</v>
      </c>
      <c r="V10" s="422">
        <f t="shared" si="3"/>
        <v>0.98461403786510782</v>
      </c>
      <c r="W10" s="424">
        <f t="shared" si="4"/>
        <v>0.98461403786510782</v>
      </c>
      <c r="Y10" s="303" t="s">
        <v>728</v>
      </c>
      <c r="Z10" s="312">
        <f>COUNTIFS(Tabela3[ICM], "&gt;=0,6", Tabela3[ICM], "&lt;0,7")</f>
        <v>2</v>
      </c>
      <c r="AA10" s="313">
        <f t="shared" si="5"/>
        <v>8.771929824561403E-3</v>
      </c>
    </row>
    <row r="11" spans="1:27">
      <c r="A11" s="418">
        <v>12</v>
      </c>
      <c r="B11" s="419" t="s">
        <v>66</v>
      </c>
      <c r="C11" s="418">
        <v>155</v>
      </c>
      <c r="D11" s="418">
        <v>58</v>
      </c>
      <c r="E11" s="418">
        <v>97</v>
      </c>
      <c r="F11" s="418">
        <v>93</v>
      </c>
      <c r="G11" s="418">
        <f t="shared" si="0"/>
        <v>403</v>
      </c>
      <c r="H11" s="420">
        <v>0.8538</v>
      </c>
      <c r="I11" s="421">
        <f>Tabela3[[#This Row],[TOTAL DE ALUNOS ABAIXO DO BÁSICO]]/Tabela3[[#This Row],[TOTAL DE ALUNOS]]*100</f>
        <v>38.461538461538467</v>
      </c>
      <c r="J11" s="421">
        <f>Tabela3[[#This Row],[Abaixo do Básico]]*1</f>
        <v>38.461538461538467</v>
      </c>
      <c r="K11" s="421">
        <f>Tabela3[[#This Row],[TOTAL DE ALUNOS NO BÁSICO]]/Tabela3[[#This Row],[TOTAL DE ALUNOS]]*100</f>
        <v>14.392059553349876</v>
      </c>
      <c r="L11" s="421">
        <f>Tabela3[[#This Row],[Básico]]*2</f>
        <v>28.784119106699752</v>
      </c>
      <c r="M11" s="421">
        <f>Tabela3[[#This Row],[TOTAL DE ALUNOS ADEQUADO]]/Tabela3[[#This Row],[TOTAL DE ALUNOS]]*100</f>
        <v>24.069478908188586</v>
      </c>
      <c r="N11" s="421">
        <f>Tabela3[[#This Row],[Adequado]]*3</f>
        <v>72.208436724565757</v>
      </c>
      <c r="O11" s="421">
        <f>Tabela3[[#This Row],[TOTAL DE ALUNOS AVANÇADO]]/Tabela3[[#This Row],[TOTAL DE ALUNOS]]*100</f>
        <v>23.076923076923077</v>
      </c>
      <c r="P11" s="422">
        <f>Tabela3[[#This Row],[Avançado]]*4</f>
        <v>92.307692307692307</v>
      </c>
      <c r="Q11" s="422">
        <f t="shared" si="1"/>
        <v>231.76178660049629</v>
      </c>
      <c r="R11" s="423">
        <f>Tabela3[[#This Row],[Participação]]*100</f>
        <v>85.38</v>
      </c>
      <c r="S11" s="422">
        <f t="shared" si="2"/>
        <v>231.76178660049629</v>
      </c>
      <c r="T11" s="421">
        <f>Tabela3[[#This Row],[Meta 2024]]*0.65</f>
        <v>147.448275</v>
      </c>
      <c r="U11" s="421">
        <v>226.84350000000001</v>
      </c>
      <c r="V11" s="422">
        <f t="shared" si="3"/>
        <v>1.0619468815724911</v>
      </c>
      <c r="W11" s="424">
        <f t="shared" si="4"/>
        <v>1</v>
      </c>
      <c r="Y11" s="303" t="s">
        <v>729</v>
      </c>
      <c r="Z11" s="312">
        <f>COUNTIFS(Tabela3[ICM], "&gt;=0,5", Tabela3[ICM], "&lt;0,6")</f>
        <v>7</v>
      </c>
      <c r="AA11" s="313">
        <f t="shared" si="5"/>
        <v>3.0701754385964911E-2</v>
      </c>
    </row>
    <row r="12" spans="1:27">
      <c r="A12" s="418">
        <v>13</v>
      </c>
      <c r="B12" s="419" t="s">
        <v>100</v>
      </c>
      <c r="C12" s="418">
        <v>90</v>
      </c>
      <c r="D12" s="418">
        <v>64</v>
      </c>
      <c r="E12" s="418">
        <v>107</v>
      </c>
      <c r="F12" s="418">
        <v>153</v>
      </c>
      <c r="G12" s="418">
        <f t="shared" si="0"/>
        <v>414</v>
      </c>
      <c r="H12" s="420">
        <v>0.91390000000000005</v>
      </c>
      <c r="I12" s="421">
        <f>Tabela3[[#This Row],[TOTAL DE ALUNOS ABAIXO DO BÁSICO]]/Tabela3[[#This Row],[TOTAL DE ALUNOS]]*100</f>
        <v>21.739130434782609</v>
      </c>
      <c r="J12" s="421">
        <f>Tabela3[[#This Row],[Abaixo do Básico]]*1</f>
        <v>21.739130434782609</v>
      </c>
      <c r="K12" s="421">
        <f>Tabela3[[#This Row],[TOTAL DE ALUNOS NO BÁSICO]]/Tabela3[[#This Row],[TOTAL DE ALUNOS]]*100</f>
        <v>15.458937198067632</v>
      </c>
      <c r="L12" s="421">
        <f>Tabela3[[#This Row],[Básico]]*2</f>
        <v>30.917874396135264</v>
      </c>
      <c r="M12" s="421">
        <f>Tabela3[[#This Row],[TOTAL DE ALUNOS ADEQUADO]]/Tabela3[[#This Row],[TOTAL DE ALUNOS]]*100</f>
        <v>25.845410628019323</v>
      </c>
      <c r="N12" s="421">
        <f>Tabela3[[#This Row],[Adequado]]*3</f>
        <v>77.536231884057969</v>
      </c>
      <c r="O12" s="421">
        <f>Tabela3[[#This Row],[TOTAL DE ALUNOS AVANÇADO]]/Tabela3[[#This Row],[TOTAL DE ALUNOS]]*100</f>
        <v>36.95652173913043</v>
      </c>
      <c r="P12" s="422">
        <f>Tabela3[[#This Row],[Avançado]]*4</f>
        <v>147.82608695652172</v>
      </c>
      <c r="Q12" s="422">
        <f t="shared" si="1"/>
        <v>278.01932367149755</v>
      </c>
      <c r="R12" s="423">
        <f>Tabela3[[#This Row],[Participação]]*100</f>
        <v>91.39</v>
      </c>
      <c r="S12" s="422">
        <f t="shared" si="2"/>
        <v>278.01932367149755</v>
      </c>
      <c r="T12" s="421">
        <f>Tabela3[[#This Row],[Meta 2024]]*0.65</f>
        <v>161.51466500000001</v>
      </c>
      <c r="U12" s="421">
        <v>248.48410000000001</v>
      </c>
      <c r="V12" s="422">
        <f t="shared" si="3"/>
        <v>1.3396046400841575</v>
      </c>
      <c r="W12" s="424">
        <f t="shared" si="4"/>
        <v>1</v>
      </c>
      <c r="Y12" s="303" t="s">
        <v>730</v>
      </c>
      <c r="Z12" s="312">
        <f>COUNTIFS(Tabela3[ICM], "&gt;=0,4", Tabela3[ICM], "&lt;0,5")</f>
        <v>0</v>
      </c>
      <c r="AA12" s="313">
        <f t="shared" si="5"/>
        <v>0</v>
      </c>
    </row>
    <row r="13" spans="1:27">
      <c r="A13" s="418">
        <v>14</v>
      </c>
      <c r="B13" s="419" t="s">
        <v>61</v>
      </c>
      <c r="C13" s="418">
        <v>58</v>
      </c>
      <c r="D13" s="418">
        <v>27</v>
      </c>
      <c r="E13" s="418">
        <v>71</v>
      </c>
      <c r="F13" s="418">
        <v>112</v>
      </c>
      <c r="G13" s="418">
        <f t="shared" si="0"/>
        <v>268</v>
      </c>
      <c r="H13" s="420">
        <v>0.91159999999999997</v>
      </c>
      <c r="I13" s="421">
        <f>Tabela3[[#This Row],[TOTAL DE ALUNOS ABAIXO DO BÁSICO]]/Tabela3[[#This Row],[TOTAL DE ALUNOS]]*100</f>
        <v>21.641791044776117</v>
      </c>
      <c r="J13" s="421">
        <f>Tabela3[[#This Row],[Abaixo do Básico]]*1</f>
        <v>21.641791044776117</v>
      </c>
      <c r="K13" s="421">
        <f>Tabela3[[#This Row],[TOTAL DE ALUNOS NO BÁSICO]]/Tabela3[[#This Row],[TOTAL DE ALUNOS]]*100</f>
        <v>10.074626865671641</v>
      </c>
      <c r="L13" s="421">
        <f>Tabela3[[#This Row],[Básico]]*2</f>
        <v>20.149253731343283</v>
      </c>
      <c r="M13" s="421">
        <f>Tabela3[[#This Row],[TOTAL DE ALUNOS ADEQUADO]]/Tabela3[[#This Row],[TOTAL DE ALUNOS]]*100</f>
        <v>26.492537313432834</v>
      </c>
      <c r="N13" s="421">
        <f>Tabela3[[#This Row],[Adequado]]*3</f>
        <v>79.477611940298502</v>
      </c>
      <c r="O13" s="421">
        <f>Tabela3[[#This Row],[TOTAL DE ALUNOS AVANÇADO]]/Tabela3[[#This Row],[TOTAL DE ALUNOS]]*100</f>
        <v>41.791044776119399</v>
      </c>
      <c r="P13" s="422">
        <f>Tabela3[[#This Row],[Avançado]]*4</f>
        <v>167.1641791044776</v>
      </c>
      <c r="Q13" s="422">
        <f t="shared" si="1"/>
        <v>288.43283582089549</v>
      </c>
      <c r="R13" s="423">
        <f>Tabela3[[#This Row],[Participação]]*100</f>
        <v>91.16</v>
      </c>
      <c r="S13" s="422">
        <f t="shared" si="2"/>
        <v>288.43283582089549</v>
      </c>
      <c r="T13" s="421">
        <f>Tabela3[[#This Row],[Meta 2024]]*0.65</f>
        <v>175.49850500000002</v>
      </c>
      <c r="U13" s="421">
        <v>269.99770000000001</v>
      </c>
      <c r="V13" s="422">
        <f t="shared" si="3"/>
        <v>1.1950824641511018</v>
      </c>
      <c r="W13" s="424">
        <f t="shared" si="4"/>
        <v>1</v>
      </c>
      <c r="Y13" s="303" t="s">
        <v>731</v>
      </c>
      <c r="Z13" s="312">
        <f>COUNTIFS(Tabela3521[IACM], "&gt;=0", Tabela3521[IACM], "&lt;0,4")</f>
        <v>0</v>
      </c>
      <c r="AA13" s="313">
        <f t="shared" si="5"/>
        <v>0</v>
      </c>
    </row>
    <row r="14" spans="1:27">
      <c r="A14" s="418">
        <v>15</v>
      </c>
      <c r="B14" s="419" t="s">
        <v>38</v>
      </c>
      <c r="C14" s="418">
        <v>73</v>
      </c>
      <c r="D14" s="418">
        <v>35</v>
      </c>
      <c r="E14" s="418">
        <v>84</v>
      </c>
      <c r="F14" s="418">
        <v>131</v>
      </c>
      <c r="G14" s="418">
        <f t="shared" si="0"/>
        <v>323</v>
      </c>
      <c r="H14" s="420">
        <v>0.95279999999999998</v>
      </c>
      <c r="I14" s="421">
        <f>Tabela3[[#This Row],[TOTAL DE ALUNOS ABAIXO DO BÁSICO]]/Tabela3[[#This Row],[TOTAL DE ALUNOS]]*100</f>
        <v>22.600619195046441</v>
      </c>
      <c r="J14" s="421">
        <f>Tabela3[[#This Row],[Abaixo do Básico]]*1</f>
        <v>22.600619195046441</v>
      </c>
      <c r="K14" s="421">
        <f>Tabela3[[#This Row],[TOTAL DE ALUNOS NO BÁSICO]]/Tabela3[[#This Row],[TOTAL DE ALUNOS]]*100</f>
        <v>10.835913312693499</v>
      </c>
      <c r="L14" s="421">
        <f>Tabela3[[#This Row],[Básico]]*2</f>
        <v>21.671826625386998</v>
      </c>
      <c r="M14" s="421">
        <f>Tabela3[[#This Row],[TOTAL DE ALUNOS ADEQUADO]]/Tabela3[[#This Row],[TOTAL DE ALUNOS]]*100</f>
        <v>26.006191950464398</v>
      </c>
      <c r="N14" s="421">
        <f>Tabela3[[#This Row],[Adequado]]*3</f>
        <v>78.018575851393194</v>
      </c>
      <c r="O14" s="421">
        <f>Tabela3[[#This Row],[TOTAL DE ALUNOS AVANÇADO]]/Tabela3[[#This Row],[TOTAL DE ALUNOS]]*100</f>
        <v>40.557275541795669</v>
      </c>
      <c r="P14" s="422">
        <f>Tabela3[[#This Row],[Avançado]]*4</f>
        <v>162.22910216718267</v>
      </c>
      <c r="Q14" s="422">
        <f t="shared" si="1"/>
        <v>284.52012383900933</v>
      </c>
      <c r="R14" s="423">
        <f>Tabela3[[#This Row],[Participação]]*100</f>
        <v>95.28</v>
      </c>
      <c r="S14" s="422">
        <f t="shared" si="2"/>
        <v>284.52012383900933</v>
      </c>
      <c r="T14" s="421">
        <f>Tabela3[[#This Row],[Meta 2024]]*0.65</f>
        <v>175.88090000000003</v>
      </c>
      <c r="U14" s="421">
        <v>270.58600000000001</v>
      </c>
      <c r="V14" s="422">
        <f t="shared" si="3"/>
        <v>1.1471317155993639</v>
      </c>
      <c r="W14" s="424">
        <f t="shared" si="4"/>
        <v>1</v>
      </c>
      <c r="Y14" s="303" t="s">
        <v>732</v>
      </c>
      <c r="Z14" s="312">
        <f>COUNTIFS(Tabela3[ICM], "")</f>
        <v>6</v>
      </c>
      <c r="AA14" s="313">
        <f t="shared" si="5"/>
        <v>2.6315789473684209E-2</v>
      </c>
    </row>
    <row r="15" spans="1:27">
      <c r="A15" s="418">
        <v>16</v>
      </c>
      <c r="B15" s="419" t="s">
        <v>188</v>
      </c>
      <c r="C15" s="418">
        <v>105</v>
      </c>
      <c r="D15" s="418">
        <v>34</v>
      </c>
      <c r="E15" s="418">
        <v>59</v>
      </c>
      <c r="F15" s="418">
        <v>68</v>
      </c>
      <c r="G15" s="418">
        <f t="shared" si="0"/>
        <v>266</v>
      </c>
      <c r="H15" s="420">
        <v>0.82350000000000001</v>
      </c>
      <c r="I15" s="421">
        <f>Tabela3[[#This Row],[TOTAL DE ALUNOS ABAIXO DO BÁSICO]]/Tabela3[[#This Row],[TOTAL DE ALUNOS]]*100</f>
        <v>39.473684210526315</v>
      </c>
      <c r="J15" s="421">
        <f>Tabela3[[#This Row],[Abaixo do Básico]]*1</f>
        <v>39.473684210526315</v>
      </c>
      <c r="K15" s="421">
        <f>Tabela3[[#This Row],[TOTAL DE ALUNOS NO BÁSICO]]/Tabela3[[#This Row],[TOTAL DE ALUNOS]]*100</f>
        <v>12.781954887218044</v>
      </c>
      <c r="L15" s="421">
        <f>Tabela3[[#This Row],[Básico]]*2</f>
        <v>25.563909774436087</v>
      </c>
      <c r="M15" s="421">
        <f>Tabela3[[#This Row],[TOTAL DE ALUNOS ADEQUADO]]/Tabela3[[#This Row],[TOTAL DE ALUNOS]]*100</f>
        <v>22.180451127819548</v>
      </c>
      <c r="N15" s="421">
        <f>Tabela3[[#This Row],[Adequado]]*3</f>
        <v>66.541353383458642</v>
      </c>
      <c r="O15" s="421">
        <f>Tabela3[[#This Row],[TOTAL DE ALUNOS AVANÇADO]]/Tabela3[[#This Row],[TOTAL DE ALUNOS]]*100</f>
        <v>25.563909774436087</v>
      </c>
      <c r="P15" s="422">
        <f>Tabela3[[#This Row],[Avançado]]*4</f>
        <v>102.25563909774435</v>
      </c>
      <c r="Q15" s="422">
        <f t="shared" si="1"/>
        <v>233.83458646616538</v>
      </c>
      <c r="R15" s="423">
        <f>Tabela3[[#This Row],[Participação]]*100</f>
        <v>82.35</v>
      </c>
      <c r="S15" s="422">
        <f t="shared" si="2"/>
        <v>233.83458646616538</v>
      </c>
      <c r="T15" s="421">
        <f>Tabela3[[#This Row],[Meta 2024]]*0.65</f>
        <v>155.81189000000001</v>
      </c>
      <c r="U15" s="421">
        <v>239.7106</v>
      </c>
      <c r="V15" s="422">
        <f t="shared" si="3"/>
        <v>0.92996300498738749</v>
      </c>
      <c r="W15" s="424">
        <f t="shared" si="4"/>
        <v>0.92996300498738749</v>
      </c>
      <c r="Y15" s="303" t="s">
        <v>733</v>
      </c>
      <c r="Z15" s="312">
        <f>SUM(Z6:Z14)</f>
        <v>228</v>
      </c>
      <c r="AA15" s="314">
        <f>SUM(AA6:AA14)</f>
        <v>0.99999999999999989</v>
      </c>
    </row>
    <row r="16" spans="1:27">
      <c r="A16" s="418">
        <v>17</v>
      </c>
      <c r="B16" s="419" t="s">
        <v>69</v>
      </c>
      <c r="C16" s="418">
        <v>69</v>
      </c>
      <c r="D16" s="418">
        <v>33</v>
      </c>
      <c r="E16" s="418">
        <v>55</v>
      </c>
      <c r="F16" s="418">
        <v>77</v>
      </c>
      <c r="G16" s="418">
        <f t="shared" si="0"/>
        <v>234</v>
      </c>
      <c r="H16" s="420">
        <v>0.89659999999999995</v>
      </c>
      <c r="I16" s="421">
        <f>Tabela3[[#This Row],[TOTAL DE ALUNOS ABAIXO DO BÁSICO]]/Tabela3[[#This Row],[TOTAL DE ALUNOS]]*100</f>
        <v>29.487179487179489</v>
      </c>
      <c r="J16" s="421">
        <f>Tabela3[[#This Row],[Abaixo do Básico]]*1</f>
        <v>29.487179487179489</v>
      </c>
      <c r="K16" s="421">
        <f>Tabela3[[#This Row],[TOTAL DE ALUNOS NO BÁSICO]]/Tabela3[[#This Row],[TOTAL DE ALUNOS]]*100</f>
        <v>14.102564102564102</v>
      </c>
      <c r="L16" s="421">
        <f>Tabela3[[#This Row],[Básico]]*2</f>
        <v>28.205128205128204</v>
      </c>
      <c r="M16" s="421">
        <f>Tabela3[[#This Row],[TOTAL DE ALUNOS ADEQUADO]]/Tabela3[[#This Row],[TOTAL DE ALUNOS]]*100</f>
        <v>23.504273504273502</v>
      </c>
      <c r="N16" s="421">
        <f>Tabela3[[#This Row],[Adequado]]*3</f>
        <v>70.512820512820511</v>
      </c>
      <c r="O16" s="421">
        <f>Tabela3[[#This Row],[TOTAL DE ALUNOS AVANÇADO]]/Tabela3[[#This Row],[TOTAL DE ALUNOS]]*100</f>
        <v>32.905982905982903</v>
      </c>
      <c r="P16" s="422">
        <f>Tabela3[[#This Row],[Avançado]]*4</f>
        <v>131.62393162393161</v>
      </c>
      <c r="Q16" s="422">
        <f t="shared" si="1"/>
        <v>259.82905982905982</v>
      </c>
      <c r="R16" s="423">
        <f>Tabela3[[#This Row],[Participação]]*100</f>
        <v>89.66</v>
      </c>
      <c r="S16" s="422">
        <f t="shared" si="2"/>
        <v>259.82905982905982</v>
      </c>
      <c r="T16" s="421">
        <f>Tabela3[[#This Row],[Meta 2024]]*0.65</f>
        <v>173.27504999999999</v>
      </c>
      <c r="U16" s="421">
        <v>266.577</v>
      </c>
      <c r="V16" s="422">
        <f t="shared" si="3"/>
        <v>0.927676322188977</v>
      </c>
      <c r="W16" s="424">
        <f t="shared" si="4"/>
        <v>0.927676322188977</v>
      </c>
    </row>
    <row r="17" spans="1:23">
      <c r="A17" s="418">
        <v>18</v>
      </c>
      <c r="B17" s="419" t="s">
        <v>43</v>
      </c>
      <c r="C17" s="418">
        <v>17</v>
      </c>
      <c r="D17" s="418">
        <v>7</v>
      </c>
      <c r="E17" s="418">
        <v>25</v>
      </c>
      <c r="F17" s="418">
        <v>103</v>
      </c>
      <c r="G17" s="418">
        <f t="shared" si="0"/>
        <v>152</v>
      </c>
      <c r="H17" s="420">
        <v>0.94410000000000005</v>
      </c>
      <c r="I17" s="421">
        <f>Tabela3[[#This Row],[TOTAL DE ALUNOS ABAIXO DO BÁSICO]]/Tabela3[[#This Row],[TOTAL DE ALUNOS]]*100</f>
        <v>11.184210526315789</v>
      </c>
      <c r="J17" s="421">
        <f>Tabela3[[#This Row],[Abaixo do Básico]]*1</f>
        <v>11.184210526315789</v>
      </c>
      <c r="K17" s="421">
        <f>Tabela3[[#This Row],[TOTAL DE ALUNOS NO BÁSICO]]/Tabela3[[#This Row],[TOTAL DE ALUNOS]]*100</f>
        <v>4.6052631578947363</v>
      </c>
      <c r="L17" s="421">
        <f>Tabela3[[#This Row],[Básico]]*2</f>
        <v>9.2105263157894726</v>
      </c>
      <c r="M17" s="421">
        <f>Tabela3[[#This Row],[TOTAL DE ALUNOS ADEQUADO]]/Tabela3[[#This Row],[TOTAL DE ALUNOS]]*100</f>
        <v>16.447368421052634</v>
      </c>
      <c r="N17" s="421">
        <f>Tabela3[[#This Row],[Adequado]]*3</f>
        <v>49.342105263157904</v>
      </c>
      <c r="O17" s="421">
        <f>Tabela3[[#This Row],[TOTAL DE ALUNOS AVANÇADO]]/Tabela3[[#This Row],[TOTAL DE ALUNOS]]*100</f>
        <v>67.76315789473685</v>
      </c>
      <c r="P17" s="422">
        <f>Tabela3[[#This Row],[Avançado]]*4</f>
        <v>271.0526315789474</v>
      </c>
      <c r="Q17" s="422">
        <f t="shared" si="1"/>
        <v>340.78947368421058</v>
      </c>
      <c r="R17" s="423">
        <f>Tabela3[[#This Row],[Participação]]*100</f>
        <v>94.410000000000011</v>
      </c>
      <c r="S17" s="422">
        <f t="shared" si="2"/>
        <v>340.78947368421058</v>
      </c>
      <c r="T17" s="421">
        <f>Tabela3[[#This Row],[Meta 2024]]*0.65</f>
        <v>205.48385000000002</v>
      </c>
      <c r="U17" s="421">
        <v>316.12900000000002</v>
      </c>
      <c r="V17" s="422">
        <f t="shared" si="3"/>
        <v>1.2228789394222028</v>
      </c>
      <c r="W17" s="424">
        <f t="shared" si="4"/>
        <v>1</v>
      </c>
    </row>
    <row r="18" spans="1:23">
      <c r="A18" s="418">
        <v>19</v>
      </c>
      <c r="B18" s="419" t="s">
        <v>149</v>
      </c>
      <c r="C18" s="418">
        <v>77</v>
      </c>
      <c r="D18" s="418">
        <v>22</v>
      </c>
      <c r="E18" s="418">
        <v>33</v>
      </c>
      <c r="F18" s="418">
        <v>25</v>
      </c>
      <c r="G18" s="425">
        <f t="shared" si="0"/>
        <v>157</v>
      </c>
      <c r="H18" s="420">
        <v>0.89200000000000002</v>
      </c>
      <c r="I18" s="421">
        <f>Tabela3[[#This Row],[TOTAL DE ALUNOS ABAIXO DO BÁSICO]]/Tabela3[[#This Row],[TOTAL DE ALUNOS]]*100</f>
        <v>49.044585987261144</v>
      </c>
      <c r="J18" s="421">
        <f>Tabela3[[#This Row],[Abaixo do Básico]]*1</f>
        <v>49.044585987261144</v>
      </c>
      <c r="K18" s="421">
        <f>Tabela3[[#This Row],[TOTAL DE ALUNOS NO BÁSICO]]/Tabela3[[#This Row],[TOTAL DE ALUNOS]]*100</f>
        <v>14.012738853503185</v>
      </c>
      <c r="L18" s="421">
        <f>Tabela3[[#This Row],[Básico]]*2</f>
        <v>28.02547770700637</v>
      </c>
      <c r="M18" s="421">
        <f>Tabela3[[#This Row],[TOTAL DE ALUNOS ADEQUADO]]/Tabela3[[#This Row],[TOTAL DE ALUNOS]]*100</f>
        <v>21.019108280254777</v>
      </c>
      <c r="N18" s="421">
        <f>Tabela3[[#This Row],[Adequado]]*3</f>
        <v>63.057324840764331</v>
      </c>
      <c r="O18" s="421">
        <f>Tabela3[[#This Row],[TOTAL DE ALUNOS AVANÇADO]]/Tabela3[[#This Row],[TOTAL DE ALUNOS]]*100</f>
        <v>15.923566878980891</v>
      </c>
      <c r="P18" s="422">
        <f>Tabela3[[#This Row],[Avançado]]*4</f>
        <v>63.694267515923563</v>
      </c>
      <c r="Q18" s="422">
        <f t="shared" si="1"/>
        <v>203.82165605095543</v>
      </c>
      <c r="R18" s="423">
        <f>Tabela3[[#This Row],[Participação]]*100</f>
        <v>89.2</v>
      </c>
      <c r="S18" s="422">
        <f t="shared" si="2"/>
        <v>203.82165605095543</v>
      </c>
      <c r="T18" s="421">
        <f>Tabela3[[#This Row],[Meta 2024]]*0.65</f>
        <v>111.27928500000002</v>
      </c>
      <c r="U18" s="421">
        <v>171.19890000000001</v>
      </c>
      <c r="V18" s="422">
        <f t="shared" si="3"/>
        <v>1.5444420170415885</v>
      </c>
      <c r="W18" s="424">
        <f t="shared" si="4"/>
        <v>1</v>
      </c>
    </row>
    <row r="19" spans="1:23">
      <c r="A19" s="418">
        <v>23</v>
      </c>
      <c r="B19" s="419" t="s">
        <v>79</v>
      </c>
      <c r="C19" s="418">
        <v>132</v>
      </c>
      <c r="D19" s="418">
        <v>49</v>
      </c>
      <c r="E19" s="418">
        <v>90</v>
      </c>
      <c r="F19" s="418">
        <v>85</v>
      </c>
      <c r="G19" s="418">
        <f t="shared" si="0"/>
        <v>356</v>
      </c>
      <c r="H19" s="420">
        <v>0.92710000000000004</v>
      </c>
      <c r="I19" s="421">
        <f>Tabela3[[#This Row],[TOTAL DE ALUNOS ABAIXO DO BÁSICO]]/Tabela3[[#This Row],[TOTAL DE ALUNOS]]*100</f>
        <v>37.078651685393261</v>
      </c>
      <c r="J19" s="421">
        <f>Tabela3[[#This Row],[Abaixo do Básico]]*1</f>
        <v>37.078651685393261</v>
      </c>
      <c r="K19" s="421">
        <f>Tabela3[[#This Row],[TOTAL DE ALUNOS NO BÁSICO]]/Tabela3[[#This Row],[TOTAL DE ALUNOS]]*100</f>
        <v>13.764044943820226</v>
      </c>
      <c r="L19" s="421">
        <f>Tabela3[[#This Row],[Básico]]*2</f>
        <v>27.528089887640451</v>
      </c>
      <c r="M19" s="421">
        <f>Tabela3[[#This Row],[TOTAL DE ALUNOS ADEQUADO]]/Tabela3[[#This Row],[TOTAL DE ALUNOS]]*100</f>
        <v>25.280898876404496</v>
      </c>
      <c r="N19" s="421">
        <f>Tabela3[[#This Row],[Adequado]]*3</f>
        <v>75.842696629213492</v>
      </c>
      <c r="O19" s="421">
        <f>Tabela3[[#This Row],[TOTAL DE ALUNOS AVANÇADO]]/Tabela3[[#This Row],[TOTAL DE ALUNOS]]*100</f>
        <v>23.876404494382022</v>
      </c>
      <c r="P19" s="422">
        <f>Tabela3[[#This Row],[Avançado]]*4</f>
        <v>95.50561797752809</v>
      </c>
      <c r="Q19" s="422">
        <f t="shared" si="1"/>
        <v>235.95505617977531</v>
      </c>
      <c r="R19" s="423">
        <f>Tabela3[[#This Row],[Participação]]*100</f>
        <v>92.710000000000008</v>
      </c>
      <c r="S19" s="422">
        <f t="shared" si="2"/>
        <v>235.95505617977531</v>
      </c>
      <c r="T19" s="421">
        <f>Tabela3[[#This Row],[Meta 2024]]*0.65</f>
        <v>146.07722999999999</v>
      </c>
      <c r="U19" s="421">
        <v>224.73419999999999</v>
      </c>
      <c r="V19" s="422">
        <f t="shared" si="3"/>
        <v>1.1426555863997219</v>
      </c>
      <c r="W19" s="424">
        <f t="shared" si="4"/>
        <v>1</v>
      </c>
    </row>
    <row r="20" spans="1:23">
      <c r="A20" s="418">
        <v>24</v>
      </c>
      <c r="B20" s="419" t="s">
        <v>96</v>
      </c>
      <c r="C20" s="418">
        <v>49</v>
      </c>
      <c r="D20" s="418">
        <v>20</v>
      </c>
      <c r="E20" s="418">
        <v>29</v>
      </c>
      <c r="F20" s="418">
        <v>43</v>
      </c>
      <c r="G20" s="418">
        <f t="shared" si="0"/>
        <v>141</v>
      </c>
      <c r="H20" s="420">
        <v>0.92759999999999998</v>
      </c>
      <c r="I20" s="421">
        <f>Tabela3[[#This Row],[TOTAL DE ALUNOS ABAIXO DO BÁSICO]]/Tabela3[[#This Row],[TOTAL DE ALUNOS]]*100</f>
        <v>34.751773049645394</v>
      </c>
      <c r="J20" s="421">
        <f>Tabela3[[#This Row],[Abaixo do Básico]]*1</f>
        <v>34.751773049645394</v>
      </c>
      <c r="K20" s="421">
        <f>Tabela3[[#This Row],[TOTAL DE ALUNOS NO BÁSICO]]/Tabela3[[#This Row],[TOTAL DE ALUNOS]]*100</f>
        <v>14.184397163120568</v>
      </c>
      <c r="L20" s="421">
        <f>Tabela3[[#This Row],[Básico]]*2</f>
        <v>28.368794326241137</v>
      </c>
      <c r="M20" s="421">
        <f>Tabela3[[#This Row],[TOTAL DE ALUNOS ADEQUADO]]/Tabela3[[#This Row],[TOTAL DE ALUNOS]]*100</f>
        <v>20.567375886524822</v>
      </c>
      <c r="N20" s="421">
        <f>Tabela3[[#This Row],[Adequado]]*3</f>
        <v>61.702127659574465</v>
      </c>
      <c r="O20" s="421">
        <f>Tabela3[[#This Row],[TOTAL DE ALUNOS AVANÇADO]]/Tabela3[[#This Row],[TOTAL DE ALUNOS]]*100</f>
        <v>30.49645390070922</v>
      </c>
      <c r="P20" s="422">
        <f>Tabela3[[#This Row],[Avançado]]*4</f>
        <v>121.98581560283688</v>
      </c>
      <c r="Q20" s="422">
        <f t="shared" si="1"/>
        <v>246.80851063829789</v>
      </c>
      <c r="R20" s="423">
        <f>Tabela3[[#This Row],[Participação]]*100</f>
        <v>92.759999999999991</v>
      </c>
      <c r="S20" s="422">
        <f t="shared" si="2"/>
        <v>246.80851063829789</v>
      </c>
      <c r="T20" s="421">
        <f>Tabela3[[#This Row],[Meta 2024]]*0.65</f>
        <v>159.43538000000001</v>
      </c>
      <c r="U20" s="421">
        <v>245.2852</v>
      </c>
      <c r="V20" s="422">
        <f t="shared" si="3"/>
        <v>1.0177439002003486</v>
      </c>
      <c r="W20" s="424">
        <f t="shared" si="4"/>
        <v>1</v>
      </c>
    </row>
    <row r="21" spans="1:23">
      <c r="A21" s="418">
        <v>25</v>
      </c>
      <c r="B21" s="419" t="s">
        <v>29</v>
      </c>
      <c r="C21" s="418">
        <v>130</v>
      </c>
      <c r="D21" s="418">
        <v>24</v>
      </c>
      <c r="E21" s="418">
        <v>37</v>
      </c>
      <c r="F21" s="418">
        <v>19</v>
      </c>
      <c r="G21" s="418">
        <f t="shared" si="0"/>
        <v>210</v>
      </c>
      <c r="H21" s="420">
        <v>0.84</v>
      </c>
      <c r="I21" s="421">
        <f>Tabela3[[#This Row],[TOTAL DE ALUNOS ABAIXO DO BÁSICO]]/Tabela3[[#This Row],[TOTAL DE ALUNOS]]*100</f>
        <v>61.904761904761905</v>
      </c>
      <c r="J21" s="421">
        <f>Tabela3[[#This Row],[Abaixo do Básico]]*1</f>
        <v>61.904761904761905</v>
      </c>
      <c r="K21" s="421">
        <f>Tabela3[[#This Row],[TOTAL DE ALUNOS NO BÁSICO]]/Tabela3[[#This Row],[TOTAL DE ALUNOS]]*100</f>
        <v>11.428571428571429</v>
      </c>
      <c r="L21" s="421">
        <f>Tabela3[[#This Row],[Básico]]*2</f>
        <v>22.857142857142858</v>
      </c>
      <c r="M21" s="421">
        <f>Tabela3[[#This Row],[TOTAL DE ALUNOS ADEQUADO]]/Tabela3[[#This Row],[TOTAL DE ALUNOS]]*100</f>
        <v>17.61904761904762</v>
      </c>
      <c r="N21" s="421">
        <f>Tabela3[[#This Row],[Adequado]]*3</f>
        <v>52.857142857142861</v>
      </c>
      <c r="O21" s="421">
        <f>Tabela3[[#This Row],[TOTAL DE ALUNOS AVANÇADO]]/Tabela3[[#This Row],[TOTAL DE ALUNOS]]*100</f>
        <v>9.0476190476190474</v>
      </c>
      <c r="P21" s="422">
        <f>Tabela3[[#This Row],[Avançado]]*4</f>
        <v>36.19047619047619</v>
      </c>
      <c r="Q21" s="422">
        <f t="shared" si="1"/>
        <v>173.8095238095238</v>
      </c>
      <c r="R21" s="423">
        <f>Tabela3[[#This Row],[Participação]]*100</f>
        <v>84</v>
      </c>
      <c r="S21" s="422">
        <f t="shared" si="2"/>
        <v>173.8095238095238</v>
      </c>
      <c r="T21" s="421">
        <f>Tabela3[[#This Row],[Meta 2024]]*0.65</f>
        <v>129.02486999999999</v>
      </c>
      <c r="U21" s="421">
        <v>198.49979999999999</v>
      </c>
      <c r="V21" s="422">
        <f t="shared" si="3"/>
        <v>0.64461603357533148</v>
      </c>
      <c r="W21" s="424">
        <f t="shared" si="4"/>
        <v>0.64461603357533148</v>
      </c>
    </row>
    <row r="22" spans="1:23">
      <c r="A22" s="418">
        <v>26</v>
      </c>
      <c r="B22" s="419" t="s">
        <v>55</v>
      </c>
      <c r="C22" s="418">
        <v>56</v>
      </c>
      <c r="D22" s="418">
        <v>22</v>
      </c>
      <c r="E22" s="418">
        <v>66</v>
      </c>
      <c r="F22" s="418">
        <v>52</v>
      </c>
      <c r="G22" s="418">
        <f t="shared" si="0"/>
        <v>196</v>
      </c>
      <c r="H22" s="420">
        <v>0.9849</v>
      </c>
      <c r="I22" s="421">
        <f>Tabela3[[#This Row],[TOTAL DE ALUNOS ABAIXO DO BÁSICO]]/Tabela3[[#This Row],[TOTAL DE ALUNOS]]*100</f>
        <v>28.571428571428569</v>
      </c>
      <c r="J22" s="421">
        <f>Tabela3[[#This Row],[Abaixo do Básico]]*1</f>
        <v>28.571428571428569</v>
      </c>
      <c r="K22" s="421">
        <f>Tabela3[[#This Row],[TOTAL DE ALUNOS NO BÁSICO]]/Tabela3[[#This Row],[TOTAL DE ALUNOS]]*100</f>
        <v>11.224489795918368</v>
      </c>
      <c r="L22" s="421">
        <f>Tabela3[[#This Row],[Básico]]*2</f>
        <v>22.448979591836736</v>
      </c>
      <c r="M22" s="421">
        <f>Tabela3[[#This Row],[TOTAL DE ALUNOS ADEQUADO]]/Tabela3[[#This Row],[TOTAL DE ALUNOS]]*100</f>
        <v>33.673469387755098</v>
      </c>
      <c r="N22" s="421">
        <f>Tabela3[[#This Row],[Adequado]]*3</f>
        <v>101.0204081632653</v>
      </c>
      <c r="O22" s="421">
        <f>Tabela3[[#This Row],[TOTAL DE ALUNOS AVANÇADO]]/Tabela3[[#This Row],[TOTAL DE ALUNOS]]*100</f>
        <v>26.530612244897959</v>
      </c>
      <c r="P22" s="422">
        <f>Tabela3[[#This Row],[Avançado]]*4</f>
        <v>106.12244897959184</v>
      </c>
      <c r="Q22" s="422">
        <f t="shared" si="1"/>
        <v>258.16326530612241</v>
      </c>
      <c r="R22" s="423">
        <f>Tabela3[[#This Row],[Participação]]*100</f>
        <v>98.49</v>
      </c>
      <c r="S22" s="422">
        <f t="shared" si="2"/>
        <v>258.16326530612241</v>
      </c>
      <c r="T22" s="421">
        <f>Tabela3[[#This Row],[Meta 2024]]*0.65</f>
        <v>158.60962000000001</v>
      </c>
      <c r="U22" s="421">
        <v>244.01480000000001</v>
      </c>
      <c r="V22" s="422">
        <f t="shared" si="3"/>
        <v>1.1656628474540116</v>
      </c>
      <c r="W22" s="424">
        <f t="shared" si="4"/>
        <v>1</v>
      </c>
    </row>
    <row r="23" spans="1:23">
      <c r="A23" s="418">
        <v>27</v>
      </c>
      <c r="B23" s="419" t="s">
        <v>155</v>
      </c>
      <c r="C23" s="418">
        <v>73</v>
      </c>
      <c r="D23" s="418">
        <v>21</v>
      </c>
      <c r="E23" s="418">
        <v>41</v>
      </c>
      <c r="F23" s="418">
        <v>34</v>
      </c>
      <c r="G23" s="418">
        <f t="shared" si="0"/>
        <v>169</v>
      </c>
      <c r="H23" s="420">
        <v>0.87560000000000004</v>
      </c>
      <c r="I23" s="421">
        <f>Tabela3[[#This Row],[TOTAL DE ALUNOS ABAIXO DO BÁSICO]]/Tabela3[[#This Row],[TOTAL DE ALUNOS]]*100</f>
        <v>43.19526627218935</v>
      </c>
      <c r="J23" s="421">
        <f>Tabela3[[#This Row],[Abaixo do Básico]]*1</f>
        <v>43.19526627218935</v>
      </c>
      <c r="K23" s="421">
        <f>Tabela3[[#This Row],[TOTAL DE ALUNOS NO BÁSICO]]/Tabela3[[#This Row],[TOTAL DE ALUNOS]]*100</f>
        <v>12.42603550295858</v>
      </c>
      <c r="L23" s="421">
        <f>Tabela3[[#This Row],[Básico]]*2</f>
        <v>24.852071005917161</v>
      </c>
      <c r="M23" s="421">
        <f>Tabela3[[#This Row],[TOTAL DE ALUNOS ADEQUADO]]/Tabela3[[#This Row],[TOTAL DE ALUNOS]]*100</f>
        <v>24.260355029585799</v>
      </c>
      <c r="N23" s="421">
        <f>Tabela3[[#This Row],[Adequado]]*3</f>
        <v>72.781065088757401</v>
      </c>
      <c r="O23" s="421">
        <f>Tabela3[[#This Row],[TOTAL DE ALUNOS AVANÇADO]]/Tabela3[[#This Row],[TOTAL DE ALUNOS]]*100</f>
        <v>20.118343195266274</v>
      </c>
      <c r="P23" s="422">
        <f>Tabela3[[#This Row],[Avançado]]*4</f>
        <v>80.473372781065095</v>
      </c>
      <c r="Q23" s="422">
        <f t="shared" si="1"/>
        <v>221.30177514792899</v>
      </c>
      <c r="R23" s="423">
        <f>Tabela3[[#This Row],[Participação]]*100</f>
        <v>87.56</v>
      </c>
      <c r="S23" s="422">
        <f t="shared" si="2"/>
        <v>221.30177514792899</v>
      </c>
      <c r="T23" s="421">
        <f>Tabela3[[#This Row],[Meta 2024]]*0.65</f>
        <v>141.02529999999999</v>
      </c>
      <c r="U23" s="421">
        <v>216.96199999999999</v>
      </c>
      <c r="V23" s="422">
        <f t="shared" si="3"/>
        <v>1.0571499044326262</v>
      </c>
      <c r="W23" s="424">
        <f t="shared" si="4"/>
        <v>1</v>
      </c>
    </row>
    <row r="24" spans="1:23">
      <c r="A24" s="418">
        <v>28</v>
      </c>
      <c r="B24" s="419" t="s">
        <v>27</v>
      </c>
      <c r="C24" s="418">
        <v>29</v>
      </c>
      <c r="D24" s="418">
        <v>3</v>
      </c>
      <c r="E24" s="418">
        <v>6</v>
      </c>
      <c r="F24" s="418">
        <v>3</v>
      </c>
      <c r="G24" s="418">
        <f t="shared" si="0"/>
        <v>41</v>
      </c>
      <c r="H24" s="420">
        <v>0.73209999999999997</v>
      </c>
      <c r="I24" s="421">
        <f>Tabela3[[#This Row],[TOTAL DE ALUNOS ABAIXO DO BÁSICO]]/Tabela3[[#This Row],[TOTAL DE ALUNOS]]*100</f>
        <v>70.731707317073173</v>
      </c>
      <c r="J24" s="421">
        <f>Tabela3[[#This Row],[Abaixo do Básico]]*1</f>
        <v>70.731707317073173</v>
      </c>
      <c r="K24" s="421">
        <f>Tabela3[[#This Row],[TOTAL DE ALUNOS NO BÁSICO]]/Tabela3[[#This Row],[TOTAL DE ALUNOS]]*100</f>
        <v>7.3170731707317067</v>
      </c>
      <c r="L24" s="421">
        <f>Tabela3[[#This Row],[Básico]]*2</f>
        <v>14.634146341463413</v>
      </c>
      <c r="M24" s="421">
        <f>Tabela3[[#This Row],[TOTAL DE ALUNOS ADEQUADO]]/Tabela3[[#This Row],[TOTAL DE ALUNOS]]*100</f>
        <v>14.634146341463413</v>
      </c>
      <c r="N24" s="421">
        <f>Tabela3[[#This Row],[Adequado]]*3</f>
        <v>43.90243902439024</v>
      </c>
      <c r="O24" s="421">
        <f>Tabela3[[#This Row],[TOTAL DE ALUNOS AVANÇADO]]/Tabela3[[#This Row],[TOTAL DE ALUNOS]]*100</f>
        <v>7.3170731707317067</v>
      </c>
      <c r="P24" s="422">
        <f>Tabela3[[#This Row],[Avançado]]*4</f>
        <v>29.268292682926827</v>
      </c>
      <c r="Q24" s="422">
        <f t="shared" si="1"/>
        <v>158.53658536585368</v>
      </c>
      <c r="R24" s="423">
        <f>Tabela3[[#This Row],[Participação]]*100</f>
        <v>73.209999999999994</v>
      </c>
      <c r="S24" s="422">
        <f t="shared" si="2"/>
        <v>158.53658536585368</v>
      </c>
      <c r="T24" s="421">
        <f>Tabela3[[#This Row],[Meta 2024]]*0.65</f>
        <v>88.779600000000002</v>
      </c>
      <c r="U24" s="421">
        <v>136.584</v>
      </c>
      <c r="V24" s="422">
        <f t="shared" si="3"/>
        <v>1.4592168370663303</v>
      </c>
      <c r="W24" s="424">
        <f t="shared" si="4"/>
        <v>1</v>
      </c>
    </row>
    <row r="25" spans="1:23">
      <c r="A25" s="418">
        <v>29</v>
      </c>
      <c r="B25" s="419" t="s">
        <v>182</v>
      </c>
      <c r="C25" s="418">
        <v>47</v>
      </c>
      <c r="D25" s="418">
        <v>25</v>
      </c>
      <c r="E25" s="418">
        <v>29</v>
      </c>
      <c r="F25" s="418">
        <v>37</v>
      </c>
      <c r="G25" s="418">
        <f t="shared" si="0"/>
        <v>138</v>
      </c>
      <c r="H25" s="420">
        <v>0.95169999999999999</v>
      </c>
      <c r="I25" s="421">
        <f>Tabela3[[#This Row],[TOTAL DE ALUNOS ABAIXO DO BÁSICO]]/Tabela3[[#This Row],[TOTAL DE ALUNOS]]*100</f>
        <v>34.057971014492757</v>
      </c>
      <c r="J25" s="421">
        <f>Tabela3[[#This Row],[Abaixo do Básico]]*1</f>
        <v>34.057971014492757</v>
      </c>
      <c r="K25" s="421">
        <f>Tabela3[[#This Row],[TOTAL DE ALUNOS NO BÁSICO]]/Tabela3[[#This Row],[TOTAL DE ALUNOS]]*100</f>
        <v>18.115942028985508</v>
      </c>
      <c r="L25" s="421">
        <f>Tabela3[[#This Row],[Básico]]*2</f>
        <v>36.231884057971016</v>
      </c>
      <c r="M25" s="421">
        <f>Tabela3[[#This Row],[TOTAL DE ALUNOS ADEQUADO]]/Tabela3[[#This Row],[TOTAL DE ALUNOS]]*100</f>
        <v>21.014492753623188</v>
      </c>
      <c r="N25" s="421">
        <f>Tabela3[[#This Row],[Adequado]]*3</f>
        <v>63.043478260869563</v>
      </c>
      <c r="O25" s="421">
        <f>Tabela3[[#This Row],[TOTAL DE ALUNOS AVANÇADO]]/Tabela3[[#This Row],[TOTAL DE ALUNOS]]*100</f>
        <v>26.811594202898554</v>
      </c>
      <c r="P25" s="422">
        <f>Tabela3[[#This Row],[Avançado]]*4</f>
        <v>107.24637681159422</v>
      </c>
      <c r="Q25" s="422">
        <f t="shared" si="1"/>
        <v>240.57971014492756</v>
      </c>
      <c r="R25" s="423">
        <f>Tabela3[[#This Row],[Participação]]*100</f>
        <v>95.17</v>
      </c>
      <c r="S25" s="422">
        <f t="shared" si="2"/>
        <v>240.57971014492756</v>
      </c>
      <c r="T25" s="421">
        <f>Tabela3[[#This Row],[Meta 2024]]*0.65</f>
        <v>161.90856500000001</v>
      </c>
      <c r="U25" s="421">
        <v>249.09010000000001</v>
      </c>
      <c r="V25" s="422">
        <f t="shared" si="3"/>
        <v>0.90238311524255166</v>
      </c>
      <c r="W25" s="424">
        <f t="shared" si="4"/>
        <v>0.90238311524255166</v>
      </c>
    </row>
    <row r="26" spans="1:23">
      <c r="A26" s="418">
        <v>30</v>
      </c>
      <c r="B26" s="419" t="s">
        <v>163</v>
      </c>
      <c r="C26" s="418">
        <v>80</v>
      </c>
      <c r="D26" s="418">
        <v>30</v>
      </c>
      <c r="E26" s="418">
        <v>49</v>
      </c>
      <c r="F26" s="418">
        <v>43</v>
      </c>
      <c r="G26" s="418">
        <f t="shared" si="0"/>
        <v>202</v>
      </c>
      <c r="H26" s="420">
        <v>0.87829999999999997</v>
      </c>
      <c r="I26" s="421">
        <f>Tabela3[[#This Row],[TOTAL DE ALUNOS ABAIXO DO BÁSICO]]/Tabela3[[#This Row],[TOTAL DE ALUNOS]]*100</f>
        <v>39.603960396039604</v>
      </c>
      <c r="J26" s="421">
        <f>Tabela3[[#This Row],[Abaixo do Básico]]*1</f>
        <v>39.603960396039604</v>
      </c>
      <c r="K26" s="421">
        <f>Tabela3[[#This Row],[TOTAL DE ALUNOS NO BÁSICO]]/Tabela3[[#This Row],[TOTAL DE ALUNOS]]*100</f>
        <v>14.85148514851485</v>
      </c>
      <c r="L26" s="421">
        <f>Tabela3[[#This Row],[Básico]]*2</f>
        <v>29.702970297029701</v>
      </c>
      <c r="M26" s="421">
        <f>Tabela3[[#This Row],[TOTAL DE ALUNOS ADEQUADO]]/Tabela3[[#This Row],[TOTAL DE ALUNOS]]*100</f>
        <v>24.257425742574256</v>
      </c>
      <c r="N26" s="421">
        <f>Tabela3[[#This Row],[Adequado]]*3</f>
        <v>72.772277227722768</v>
      </c>
      <c r="O26" s="421">
        <f>Tabela3[[#This Row],[TOTAL DE ALUNOS AVANÇADO]]/Tabela3[[#This Row],[TOTAL DE ALUNOS]]*100</f>
        <v>21.287128712871286</v>
      </c>
      <c r="P26" s="422">
        <f>Tabela3[[#This Row],[Avançado]]*4</f>
        <v>85.148514851485146</v>
      </c>
      <c r="Q26" s="422">
        <f t="shared" si="1"/>
        <v>227.22772277227722</v>
      </c>
      <c r="R26" s="423">
        <f>Tabela3[[#This Row],[Participação]]*100</f>
        <v>87.83</v>
      </c>
      <c r="S26" s="422">
        <f t="shared" si="2"/>
        <v>227.22772277227722</v>
      </c>
      <c r="T26" s="421">
        <f>Tabela3[[#This Row],[Meta 2024]]*0.65</f>
        <v>153.24244000000002</v>
      </c>
      <c r="U26" s="421">
        <v>235.7576</v>
      </c>
      <c r="V26" s="422">
        <f t="shared" si="3"/>
        <v>0.89662654441047218</v>
      </c>
      <c r="W26" s="424">
        <f t="shared" si="4"/>
        <v>0.89662654441047218</v>
      </c>
    </row>
    <row r="27" spans="1:23">
      <c r="A27" s="418">
        <v>31</v>
      </c>
      <c r="B27" s="419" t="s">
        <v>119</v>
      </c>
      <c r="C27" s="418">
        <v>14</v>
      </c>
      <c r="D27" s="418">
        <v>11</v>
      </c>
      <c r="E27" s="418">
        <v>23</v>
      </c>
      <c r="F27" s="418">
        <v>20</v>
      </c>
      <c r="G27" s="418">
        <f t="shared" si="0"/>
        <v>68</v>
      </c>
      <c r="H27" s="420">
        <v>0.86080000000000001</v>
      </c>
      <c r="I27" s="421">
        <f>Tabela3[[#This Row],[TOTAL DE ALUNOS ABAIXO DO BÁSICO]]/Tabela3[[#This Row],[TOTAL DE ALUNOS]]*100</f>
        <v>20.588235294117645</v>
      </c>
      <c r="J27" s="421">
        <f>Tabela3[[#This Row],[Abaixo do Básico]]*1</f>
        <v>20.588235294117645</v>
      </c>
      <c r="K27" s="421">
        <f>Tabela3[[#This Row],[TOTAL DE ALUNOS NO BÁSICO]]/Tabela3[[#This Row],[TOTAL DE ALUNOS]]*100</f>
        <v>16.176470588235293</v>
      </c>
      <c r="L27" s="421">
        <f>Tabela3[[#This Row],[Básico]]*2</f>
        <v>32.352941176470587</v>
      </c>
      <c r="M27" s="421">
        <f>Tabela3[[#This Row],[TOTAL DE ALUNOS ADEQUADO]]/Tabela3[[#This Row],[TOTAL DE ALUNOS]]*100</f>
        <v>33.82352941176471</v>
      </c>
      <c r="N27" s="421">
        <f>Tabela3[[#This Row],[Adequado]]*3</f>
        <v>101.47058823529413</v>
      </c>
      <c r="O27" s="421">
        <f>Tabela3[[#This Row],[TOTAL DE ALUNOS AVANÇADO]]/Tabela3[[#This Row],[TOTAL DE ALUNOS]]*100</f>
        <v>29.411764705882355</v>
      </c>
      <c r="P27" s="422">
        <f>Tabela3[[#This Row],[Avançado]]*4</f>
        <v>117.64705882352942</v>
      </c>
      <c r="Q27" s="422">
        <f t="shared" si="1"/>
        <v>272.05882352941182</v>
      </c>
      <c r="R27" s="423">
        <f>Tabela3[[#This Row],[Participação]]*100</f>
        <v>86.08</v>
      </c>
      <c r="S27" s="422">
        <f t="shared" si="2"/>
        <v>272.05882352941182</v>
      </c>
      <c r="T27" s="421">
        <f>Tabela3[[#This Row],[Meta 2024]]*0.65</f>
        <v>158.45524499999999</v>
      </c>
      <c r="U27" s="421">
        <v>243.7773</v>
      </c>
      <c r="V27" s="422">
        <f t="shared" si="3"/>
        <v>1.3314679133011016</v>
      </c>
      <c r="W27" s="424">
        <f t="shared" si="4"/>
        <v>1</v>
      </c>
    </row>
    <row r="28" spans="1:23">
      <c r="A28" s="418">
        <v>32</v>
      </c>
      <c r="B28" s="419" t="s">
        <v>222</v>
      </c>
      <c r="C28" s="418">
        <v>42</v>
      </c>
      <c r="D28" s="418">
        <v>12</v>
      </c>
      <c r="E28" s="418">
        <v>13</v>
      </c>
      <c r="F28" s="418">
        <v>15</v>
      </c>
      <c r="G28" s="418">
        <f t="shared" si="0"/>
        <v>82</v>
      </c>
      <c r="H28" s="420">
        <v>0.80389999999999995</v>
      </c>
      <c r="I28" s="421">
        <f>Tabela3[[#This Row],[TOTAL DE ALUNOS ABAIXO DO BÁSICO]]/Tabela3[[#This Row],[TOTAL DE ALUNOS]]*100</f>
        <v>51.219512195121951</v>
      </c>
      <c r="J28" s="421">
        <f>Tabela3[[#This Row],[Abaixo do Básico]]*1</f>
        <v>51.219512195121951</v>
      </c>
      <c r="K28" s="421">
        <f>Tabela3[[#This Row],[TOTAL DE ALUNOS NO BÁSICO]]/Tabela3[[#This Row],[TOTAL DE ALUNOS]]*100</f>
        <v>14.634146341463413</v>
      </c>
      <c r="L28" s="421">
        <f>Tabela3[[#This Row],[Básico]]*2</f>
        <v>29.268292682926827</v>
      </c>
      <c r="M28" s="421">
        <f>Tabela3[[#This Row],[TOTAL DE ALUNOS ADEQUADO]]/Tabela3[[#This Row],[TOTAL DE ALUNOS]]*100</f>
        <v>15.853658536585366</v>
      </c>
      <c r="N28" s="421">
        <f>Tabela3[[#This Row],[Adequado]]*3</f>
        <v>47.560975609756099</v>
      </c>
      <c r="O28" s="421">
        <f>Tabela3[[#This Row],[TOTAL DE ALUNOS AVANÇADO]]/Tabela3[[#This Row],[TOTAL DE ALUNOS]]*100</f>
        <v>18.292682926829269</v>
      </c>
      <c r="P28" s="422">
        <f>Tabela3[[#This Row],[Avançado]]*4</f>
        <v>73.170731707317074</v>
      </c>
      <c r="Q28" s="422">
        <f t="shared" si="1"/>
        <v>201.21951219512198</v>
      </c>
      <c r="R28" s="423">
        <f>Tabela3[[#This Row],[Participação]]*100</f>
        <v>80.39</v>
      </c>
      <c r="S28" s="422">
        <f t="shared" si="2"/>
        <v>201.21951219512198</v>
      </c>
      <c r="T28" s="421">
        <f>Tabela3[[#This Row],[Meta 2024]]*0.65</f>
        <v>110.29655000000001</v>
      </c>
      <c r="U28" s="421">
        <v>169.68700000000001</v>
      </c>
      <c r="V28" s="422">
        <f t="shared" si="3"/>
        <v>1.5309357345351309</v>
      </c>
      <c r="W28" s="424">
        <f t="shared" si="4"/>
        <v>1</v>
      </c>
    </row>
    <row r="29" spans="1:23">
      <c r="A29" s="418">
        <v>33</v>
      </c>
      <c r="B29" s="419" t="s">
        <v>73</v>
      </c>
      <c r="C29" s="418">
        <v>70</v>
      </c>
      <c r="D29" s="418">
        <v>8</v>
      </c>
      <c r="E29" s="418">
        <v>14</v>
      </c>
      <c r="F29" s="418">
        <v>11</v>
      </c>
      <c r="G29" s="418">
        <f t="shared" si="0"/>
        <v>103</v>
      </c>
      <c r="H29" s="420">
        <v>0.60229999999999995</v>
      </c>
      <c r="I29" s="421">
        <f>Tabela3[[#This Row],[TOTAL DE ALUNOS ABAIXO DO BÁSICO]]/Tabela3[[#This Row],[TOTAL DE ALUNOS]]*100</f>
        <v>67.961165048543691</v>
      </c>
      <c r="J29" s="421">
        <f>Tabela3[[#This Row],[Abaixo do Básico]]*1</f>
        <v>67.961165048543691</v>
      </c>
      <c r="K29" s="421">
        <f>Tabela3[[#This Row],[TOTAL DE ALUNOS NO BÁSICO]]/Tabela3[[#This Row],[TOTAL DE ALUNOS]]*100</f>
        <v>7.7669902912621351</v>
      </c>
      <c r="L29" s="421">
        <f>Tabela3[[#This Row],[Básico]]*2</f>
        <v>15.53398058252427</v>
      </c>
      <c r="M29" s="421">
        <f>Tabela3[[#This Row],[TOTAL DE ALUNOS ADEQUADO]]/Tabela3[[#This Row],[TOTAL DE ALUNOS]]*100</f>
        <v>13.592233009708737</v>
      </c>
      <c r="N29" s="421">
        <f>Tabela3[[#This Row],[Adequado]]*3</f>
        <v>40.776699029126213</v>
      </c>
      <c r="O29" s="421">
        <f>Tabela3[[#This Row],[TOTAL DE ALUNOS AVANÇADO]]/Tabela3[[#This Row],[TOTAL DE ALUNOS]]*100</f>
        <v>10.679611650485436</v>
      </c>
      <c r="P29" s="422">
        <f>Tabela3[[#This Row],[Avançado]]*4</f>
        <v>42.718446601941743</v>
      </c>
      <c r="Q29" s="422">
        <f t="shared" si="1"/>
        <v>166.99029126213591</v>
      </c>
      <c r="R29" s="423">
        <f>Tabela3[[#This Row],[Participação]]*100</f>
        <v>60.23</v>
      </c>
      <c r="S29" s="422">
        <f t="shared" si="2"/>
        <v>166.99029126213591</v>
      </c>
      <c r="T29" s="421">
        <f>Tabela3[[#This Row],[Meta 2024]]*0.65</f>
        <v>66.534975000000003</v>
      </c>
      <c r="U29" s="421">
        <v>102.36150000000001</v>
      </c>
      <c r="V29" s="422">
        <f t="shared" si="3"/>
        <v>2.8039369227726079</v>
      </c>
      <c r="W29" s="424">
        <f t="shared" si="4"/>
        <v>1</v>
      </c>
    </row>
    <row r="30" spans="1:23">
      <c r="A30" s="418">
        <v>34</v>
      </c>
      <c r="B30" s="419" t="s">
        <v>115</v>
      </c>
      <c r="C30" s="418">
        <v>80</v>
      </c>
      <c r="D30" s="418">
        <v>35</v>
      </c>
      <c r="E30" s="418">
        <v>34</v>
      </c>
      <c r="F30" s="418">
        <v>40</v>
      </c>
      <c r="G30" s="418">
        <f t="shared" si="0"/>
        <v>189</v>
      </c>
      <c r="H30" s="420">
        <v>0.82169999999999999</v>
      </c>
      <c r="I30" s="421">
        <f>Tabela3[[#This Row],[TOTAL DE ALUNOS ABAIXO DO BÁSICO]]/Tabela3[[#This Row],[TOTAL DE ALUNOS]]*100</f>
        <v>42.328042328042329</v>
      </c>
      <c r="J30" s="421">
        <f>Tabela3[[#This Row],[Abaixo do Básico]]*1</f>
        <v>42.328042328042329</v>
      </c>
      <c r="K30" s="421">
        <f>Tabela3[[#This Row],[TOTAL DE ALUNOS NO BÁSICO]]/Tabela3[[#This Row],[TOTAL DE ALUNOS]]*100</f>
        <v>18.518518518518519</v>
      </c>
      <c r="L30" s="421">
        <f>Tabela3[[#This Row],[Básico]]*2</f>
        <v>37.037037037037038</v>
      </c>
      <c r="M30" s="421">
        <f>Tabela3[[#This Row],[TOTAL DE ALUNOS ADEQUADO]]/Tabela3[[#This Row],[TOTAL DE ALUNOS]]*100</f>
        <v>17.989417989417987</v>
      </c>
      <c r="N30" s="421">
        <f>Tabela3[[#This Row],[Adequado]]*3</f>
        <v>53.968253968253961</v>
      </c>
      <c r="O30" s="421">
        <f>Tabela3[[#This Row],[TOTAL DE ALUNOS AVANÇADO]]/Tabela3[[#This Row],[TOTAL DE ALUNOS]]*100</f>
        <v>21.164021164021165</v>
      </c>
      <c r="P30" s="422">
        <f>Tabela3[[#This Row],[Avançado]]*4</f>
        <v>84.656084656084658</v>
      </c>
      <c r="Q30" s="422">
        <f t="shared" si="1"/>
        <v>217.98941798941797</v>
      </c>
      <c r="R30" s="423">
        <f>Tabela3[[#This Row],[Participação]]*100</f>
        <v>82.17</v>
      </c>
      <c r="S30" s="422">
        <f t="shared" si="2"/>
        <v>217.98941798941797</v>
      </c>
      <c r="T30" s="421">
        <f>Tabela3[[#This Row],[Meta 2024]]*0.65</f>
        <v>138.873345</v>
      </c>
      <c r="U30" s="421">
        <v>213.65129999999999</v>
      </c>
      <c r="V30" s="422">
        <f t="shared" si="3"/>
        <v>1.0580133274494867</v>
      </c>
      <c r="W30" s="424">
        <f t="shared" si="4"/>
        <v>1</v>
      </c>
    </row>
    <row r="31" spans="1:23">
      <c r="A31" s="418">
        <v>35</v>
      </c>
      <c r="B31" s="419" t="s">
        <v>200</v>
      </c>
      <c r="C31" s="418">
        <v>41</v>
      </c>
      <c r="D31" s="418">
        <v>30</v>
      </c>
      <c r="E31" s="418">
        <v>44</v>
      </c>
      <c r="F31" s="418">
        <v>75</v>
      </c>
      <c r="G31" s="418">
        <f t="shared" si="0"/>
        <v>190</v>
      </c>
      <c r="H31" s="420">
        <v>0.88370000000000004</v>
      </c>
      <c r="I31" s="421">
        <f>Tabela3[[#This Row],[TOTAL DE ALUNOS ABAIXO DO BÁSICO]]/Tabela3[[#This Row],[TOTAL DE ALUNOS]]*100</f>
        <v>21.578947368421055</v>
      </c>
      <c r="J31" s="421">
        <f>Tabela3[[#This Row],[Abaixo do Básico]]*1</f>
        <v>21.578947368421055</v>
      </c>
      <c r="K31" s="421">
        <f>Tabela3[[#This Row],[TOTAL DE ALUNOS NO BÁSICO]]/Tabela3[[#This Row],[TOTAL DE ALUNOS]]*100</f>
        <v>15.789473684210526</v>
      </c>
      <c r="L31" s="421">
        <f>Tabela3[[#This Row],[Básico]]*2</f>
        <v>31.578947368421051</v>
      </c>
      <c r="M31" s="421">
        <f>Tabela3[[#This Row],[TOTAL DE ALUNOS ADEQUADO]]/Tabela3[[#This Row],[TOTAL DE ALUNOS]]*100</f>
        <v>23.157894736842106</v>
      </c>
      <c r="N31" s="421">
        <f>Tabela3[[#This Row],[Adequado]]*3</f>
        <v>69.473684210526315</v>
      </c>
      <c r="O31" s="421">
        <f>Tabela3[[#This Row],[TOTAL DE ALUNOS AVANÇADO]]/Tabela3[[#This Row],[TOTAL DE ALUNOS]]*100</f>
        <v>39.473684210526315</v>
      </c>
      <c r="P31" s="422">
        <f>Tabela3[[#This Row],[Avançado]]*4</f>
        <v>157.89473684210526</v>
      </c>
      <c r="Q31" s="422">
        <f t="shared" si="1"/>
        <v>280.5263157894737</v>
      </c>
      <c r="R31" s="423">
        <f>Tabela3[[#This Row],[Participação]]*100</f>
        <v>88.37</v>
      </c>
      <c r="S31" s="422">
        <f t="shared" si="2"/>
        <v>280.5263157894737</v>
      </c>
      <c r="T31" s="421">
        <f>Tabela3[[#This Row],[Meta 2024]]*0.65</f>
        <v>173.759885</v>
      </c>
      <c r="U31" s="421">
        <v>267.3229</v>
      </c>
      <c r="V31" s="422">
        <f t="shared" si="3"/>
        <v>1.1411178956714221</v>
      </c>
      <c r="W31" s="424">
        <f t="shared" si="4"/>
        <v>1</v>
      </c>
    </row>
    <row r="32" spans="1:23">
      <c r="A32" s="418">
        <v>36</v>
      </c>
      <c r="B32" s="419" t="s">
        <v>144</v>
      </c>
      <c r="C32" s="418">
        <v>60</v>
      </c>
      <c r="D32" s="418">
        <v>25</v>
      </c>
      <c r="E32" s="418">
        <v>41</v>
      </c>
      <c r="F32" s="418">
        <v>48</v>
      </c>
      <c r="G32" s="418">
        <f t="shared" si="0"/>
        <v>174</v>
      </c>
      <c r="H32" s="420">
        <v>0.96130000000000004</v>
      </c>
      <c r="I32" s="421">
        <f>Tabela3[[#This Row],[TOTAL DE ALUNOS ABAIXO DO BÁSICO]]/Tabela3[[#This Row],[TOTAL DE ALUNOS]]*100</f>
        <v>34.482758620689658</v>
      </c>
      <c r="J32" s="421">
        <f>Tabela3[[#This Row],[Abaixo do Básico]]*1</f>
        <v>34.482758620689658</v>
      </c>
      <c r="K32" s="421">
        <f>Tabela3[[#This Row],[TOTAL DE ALUNOS NO BÁSICO]]/Tabela3[[#This Row],[TOTAL DE ALUNOS]]*100</f>
        <v>14.367816091954023</v>
      </c>
      <c r="L32" s="421">
        <f>Tabela3[[#This Row],[Básico]]*2</f>
        <v>28.735632183908045</v>
      </c>
      <c r="M32" s="421">
        <f>Tabela3[[#This Row],[TOTAL DE ALUNOS ADEQUADO]]/Tabela3[[#This Row],[TOTAL DE ALUNOS]]*100</f>
        <v>23.563218390804597</v>
      </c>
      <c r="N32" s="421">
        <f>Tabela3[[#This Row],[Adequado]]*3</f>
        <v>70.689655172413794</v>
      </c>
      <c r="O32" s="421">
        <f>Tabela3[[#This Row],[TOTAL DE ALUNOS AVANÇADO]]/Tabela3[[#This Row],[TOTAL DE ALUNOS]]*100</f>
        <v>27.586206896551722</v>
      </c>
      <c r="P32" s="422">
        <f>Tabela3[[#This Row],[Avançado]]*4</f>
        <v>110.34482758620689</v>
      </c>
      <c r="Q32" s="422">
        <f t="shared" si="1"/>
        <v>244.2528735632184</v>
      </c>
      <c r="R32" s="423">
        <f>Tabela3[[#This Row],[Participação]]*100</f>
        <v>96.13000000000001</v>
      </c>
      <c r="S32" s="422">
        <f t="shared" si="2"/>
        <v>244.2528735632184</v>
      </c>
      <c r="T32" s="421">
        <f>Tabela3[[#This Row],[Meta 2024]]*0.65</f>
        <v>171.05361000000002</v>
      </c>
      <c r="U32" s="421">
        <v>263.15940000000001</v>
      </c>
      <c r="V32" s="422">
        <f t="shared" si="3"/>
        <v>0.7947303156861083</v>
      </c>
      <c r="W32" s="424">
        <f t="shared" si="4"/>
        <v>0.7947303156861083</v>
      </c>
    </row>
    <row r="33" spans="1:23">
      <c r="A33" s="418">
        <v>37</v>
      </c>
      <c r="B33" s="419" t="s">
        <v>95</v>
      </c>
      <c r="C33" s="418">
        <v>66</v>
      </c>
      <c r="D33" s="418">
        <v>21</v>
      </c>
      <c r="E33" s="418">
        <v>33</v>
      </c>
      <c r="F33" s="418">
        <v>12</v>
      </c>
      <c r="G33" s="418">
        <f t="shared" si="0"/>
        <v>132</v>
      </c>
      <c r="H33" s="420">
        <v>0.89800000000000002</v>
      </c>
      <c r="I33" s="421">
        <f>Tabela3[[#This Row],[TOTAL DE ALUNOS ABAIXO DO BÁSICO]]/Tabela3[[#This Row],[TOTAL DE ALUNOS]]*100</f>
        <v>50</v>
      </c>
      <c r="J33" s="421">
        <f>Tabela3[[#This Row],[Abaixo do Básico]]*1</f>
        <v>50</v>
      </c>
      <c r="K33" s="421">
        <f>Tabela3[[#This Row],[TOTAL DE ALUNOS NO BÁSICO]]/Tabela3[[#This Row],[TOTAL DE ALUNOS]]*100</f>
        <v>15.909090909090908</v>
      </c>
      <c r="L33" s="421">
        <f>Tabela3[[#This Row],[Básico]]*2</f>
        <v>31.818181818181817</v>
      </c>
      <c r="M33" s="421">
        <f>Tabela3[[#This Row],[TOTAL DE ALUNOS ADEQUADO]]/Tabela3[[#This Row],[TOTAL DE ALUNOS]]*100</f>
        <v>25</v>
      </c>
      <c r="N33" s="421">
        <f>Tabela3[[#This Row],[Adequado]]*3</f>
        <v>75</v>
      </c>
      <c r="O33" s="421">
        <f>Tabela3[[#This Row],[TOTAL DE ALUNOS AVANÇADO]]/Tabela3[[#This Row],[TOTAL DE ALUNOS]]*100</f>
        <v>9.0909090909090917</v>
      </c>
      <c r="P33" s="422">
        <f>Tabela3[[#This Row],[Avançado]]*4</f>
        <v>36.363636363636367</v>
      </c>
      <c r="Q33" s="422">
        <f t="shared" si="1"/>
        <v>193.18181818181819</v>
      </c>
      <c r="R33" s="423">
        <f>Tabela3[[#This Row],[Participação]]*100</f>
        <v>89.8</v>
      </c>
      <c r="S33" s="422">
        <f t="shared" si="2"/>
        <v>193.18181818181819</v>
      </c>
      <c r="T33" s="421">
        <f>Tabela3[[#This Row],[Meta 2024]]*0.65</f>
        <v>119.62678000000001</v>
      </c>
      <c r="U33" s="421">
        <v>184.0412</v>
      </c>
      <c r="V33" s="422">
        <f t="shared" si="3"/>
        <v>1.1419032909373117</v>
      </c>
      <c r="W33" s="424">
        <f t="shared" si="4"/>
        <v>1</v>
      </c>
    </row>
    <row r="34" spans="1:23">
      <c r="A34" s="418">
        <v>38</v>
      </c>
      <c r="B34" s="419" t="s">
        <v>130</v>
      </c>
      <c r="C34" s="418">
        <v>29</v>
      </c>
      <c r="D34" s="418">
        <v>17</v>
      </c>
      <c r="E34" s="418">
        <v>14</v>
      </c>
      <c r="F34" s="418">
        <v>4</v>
      </c>
      <c r="G34" s="418">
        <f t="shared" si="0"/>
        <v>64</v>
      </c>
      <c r="H34" s="420">
        <v>0.9143</v>
      </c>
      <c r="I34" s="421">
        <f>Tabela3[[#This Row],[TOTAL DE ALUNOS ABAIXO DO BÁSICO]]/Tabela3[[#This Row],[TOTAL DE ALUNOS]]*100</f>
        <v>45.3125</v>
      </c>
      <c r="J34" s="421">
        <f>Tabela3[[#This Row],[Abaixo do Básico]]*1</f>
        <v>45.3125</v>
      </c>
      <c r="K34" s="421">
        <f>Tabela3[[#This Row],[TOTAL DE ALUNOS NO BÁSICO]]/Tabela3[[#This Row],[TOTAL DE ALUNOS]]*100</f>
        <v>26.5625</v>
      </c>
      <c r="L34" s="421">
        <f>Tabela3[[#This Row],[Básico]]*2</f>
        <v>53.125</v>
      </c>
      <c r="M34" s="421">
        <f>Tabela3[[#This Row],[TOTAL DE ALUNOS ADEQUADO]]/Tabela3[[#This Row],[TOTAL DE ALUNOS]]*100</f>
        <v>21.875</v>
      </c>
      <c r="N34" s="421">
        <f>Tabela3[[#This Row],[Adequado]]*3</f>
        <v>65.625</v>
      </c>
      <c r="O34" s="421">
        <f>Tabela3[[#This Row],[TOTAL DE ALUNOS AVANÇADO]]/Tabela3[[#This Row],[TOTAL DE ALUNOS]]*100</f>
        <v>6.25</v>
      </c>
      <c r="P34" s="422">
        <f>Tabela3[[#This Row],[Avançado]]*4</f>
        <v>25</v>
      </c>
      <c r="Q34" s="422">
        <f t="shared" si="1"/>
        <v>189.0625</v>
      </c>
      <c r="R34" s="423">
        <f>Tabela3[[#This Row],[Participação]]*100</f>
        <v>91.43</v>
      </c>
      <c r="S34" s="422">
        <f t="shared" si="2"/>
        <v>189.0625</v>
      </c>
      <c r="T34" s="421">
        <f>Tabela3[[#This Row],[Meta 2024]]*0.65</f>
        <v>121.10527</v>
      </c>
      <c r="U34" s="421">
        <v>186.3158</v>
      </c>
      <c r="V34" s="422">
        <f t="shared" si="3"/>
        <v>1.0421204980238621</v>
      </c>
      <c r="W34" s="424">
        <f t="shared" si="4"/>
        <v>1</v>
      </c>
    </row>
    <row r="35" spans="1:23">
      <c r="A35" s="418">
        <v>39</v>
      </c>
      <c r="B35" s="419" t="s">
        <v>45</v>
      </c>
      <c r="C35" s="418">
        <v>37</v>
      </c>
      <c r="D35" s="418">
        <v>12</v>
      </c>
      <c r="E35" s="418">
        <v>12</v>
      </c>
      <c r="F35" s="418">
        <v>17</v>
      </c>
      <c r="G35" s="418">
        <f t="shared" si="0"/>
        <v>78</v>
      </c>
      <c r="H35" s="420">
        <v>0.79590000000000005</v>
      </c>
      <c r="I35" s="421">
        <f>Tabela3[[#This Row],[TOTAL DE ALUNOS ABAIXO DO BÁSICO]]/Tabela3[[#This Row],[TOTAL DE ALUNOS]]*100</f>
        <v>47.435897435897431</v>
      </c>
      <c r="J35" s="421">
        <f>Tabela3[[#This Row],[Abaixo do Básico]]*1</f>
        <v>47.435897435897431</v>
      </c>
      <c r="K35" s="421">
        <f>Tabela3[[#This Row],[TOTAL DE ALUNOS NO BÁSICO]]/Tabela3[[#This Row],[TOTAL DE ALUNOS]]*100</f>
        <v>15.384615384615385</v>
      </c>
      <c r="L35" s="421">
        <f>Tabela3[[#This Row],[Básico]]*2</f>
        <v>30.76923076923077</v>
      </c>
      <c r="M35" s="421">
        <f>Tabela3[[#This Row],[TOTAL DE ALUNOS ADEQUADO]]/Tabela3[[#This Row],[TOTAL DE ALUNOS]]*100</f>
        <v>15.384615384615385</v>
      </c>
      <c r="N35" s="421">
        <f>Tabela3[[#This Row],[Adequado]]*3</f>
        <v>46.153846153846153</v>
      </c>
      <c r="O35" s="421">
        <f>Tabela3[[#This Row],[TOTAL DE ALUNOS AVANÇADO]]/Tabela3[[#This Row],[TOTAL DE ALUNOS]]*100</f>
        <v>21.794871794871796</v>
      </c>
      <c r="P35" s="422">
        <f>Tabela3[[#This Row],[Avançado]]*4</f>
        <v>87.179487179487182</v>
      </c>
      <c r="Q35" s="422">
        <f t="shared" si="1"/>
        <v>211.53846153846155</v>
      </c>
      <c r="R35" s="423">
        <f>Tabela3[[#This Row],[Participação]]*100</f>
        <v>79.59</v>
      </c>
      <c r="S35" s="422">
        <f t="shared" si="2"/>
        <v>211.53846153846155</v>
      </c>
      <c r="T35" s="421">
        <f>Tabela3[[#This Row],[Meta 2024]]*0.65</f>
        <v>124.7259</v>
      </c>
      <c r="U35" s="421">
        <v>191.886</v>
      </c>
      <c r="V35" s="422">
        <f t="shared" si="3"/>
        <v>1.2926210880933999</v>
      </c>
      <c r="W35" s="424">
        <f t="shared" si="4"/>
        <v>1</v>
      </c>
    </row>
    <row r="36" spans="1:23">
      <c r="A36" s="418">
        <v>40</v>
      </c>
      <c r="B36" s="419" t="s">
        <v>126</v>
      </c>
      <c r="C36" s="418">
        <v>11</v>
      </c>
      <c r="D36" s="418">
        <v>3</v>
      </c>
      <c r="E36" s="418">
        <v>12</v>
      </c>
      <c r="F36" s="418">
        <v>36</v>
      </c>
      <c r="G36" s="418">
        <f t="shared" si="0"/>
        <v>62</v>
      </c>
      <c r="H36" s="420">
        <v>0.91180000000000005</v>
      </c>
      <c r="I36" s="421">
        <f>Tabela3[[#This Row],[TOTAL DE ALUNOS ABAIXO DO BÁSICO]]/Tabela3[[#This Row],[TOTAL DE ALUNOS]]*100</f>
        <v>17.741935483870968</v>
      </c>
      <c r="J36" s="421">
        <f>Tabela3[[#This Row],[Abaixo do Básico]]*1</f>
        <v>17.741935483870968</v>
      </c>
      <c r="K36" s="421">
        <f>Tabela3[[#This Row],[TOTAL DE ALUNOS NO BÁSICO]]/Tabela3[[#This Row],[TOTAL DE ALUNOS]]*100</f>
        <v>4.838709677419355</v>
      </c>
      <c r="L36" s="421">
        <f>Tabela3[[#This Row],[Básico]]*2</f>
        <v>9.67741935483871</v>
      </c>
      <c r="M36" s="421">
        <f>Tabela3[[#This Row],[TOTAL DE ALUNOS ADEQUADO]]/Tabela3[[#This Row],[TOTAL DE ALUNOS]]*100</f>
        <v>19.35483870967742</v>
      </c>
      <c r="N36" s="421">
        <f>Tabela3[[#This Row],[Adequado]]*3</f>
        <v>58.064516129032256</v>
      </c>
      <c r="O36" s="421">
        <f>Tabela3[[#This Row],[TOTAL DE ALUNOS AVANÇADO]]/Tabela3[[#This Row],[TOTAL DE ALUNOS]]*100</f>
        <v>58.064516129032263</v>
      </c>
      <c r="P36" s="422">
        <f>Tabela3[[#This Row],[Avançado]]*4</f>
        <v>232.25806451612905</v>
      </c>
      <c r="Q36" s="422">
        <f t="shared" si="1"/>
        <v>317.74193548387098</v>
      </c>
      <c r="R36" s="423">
        <f>Tabela3[[#This Row],[Participação]]*100</f>
        <v>91.18</v>
      </c>
      <c r="S36" s="422">
        <f t="shared" si="2"/>
        <v>317.74193548387098</v>
      </c>
      <c r="T36" s="421">
        <f>Tabela3[[#This Row],[Meta 2024]]*0.65</f>
        <v>163.70360500000001</v>
      </c>
      <c r="U36" s="421">
        <v>251.85169999999999</v>
      </c>
      <c r="V36" s="422">
        <f t="shared" si="3"/>
        <v>1.7474947187896799</v>
      </c>
      <c r="W36" s="424">
        <f t="shared" si="4"/>
        <v>1</v>
      </c>
    </row>
    <row r="37" spans="1:23">
      <c r="A37" s="418">
        <v>41</v>
      </c>
      <c r="B37" s="419" t="s">
        <v>58</v>
      </c>
      <c r="C37" s="418">
        <v>102</v>
      </c>
      <c r="D37" s="418">
        <v>39</v>
      </c>
      <c r="E37" s="418">
        <v>77</v>
      </c>
      <c r="F37" s="418">
        <v>92</v>
      </c>
      <c r="G37" s="418">
        <f t="shared" si="0"/>
        <v>310</v>
      </c>
      <c r="H37" s="420">
        <v>0.9657</v>
      </c>
      <c r="I37" s="421">
        <f>Tabela3[[#This Row],[TOTAL DE ALUNOS ABAIXO DO BÁSICO]]/Tabela3[[#This Row],[TOTAL DE ALUNOS]]*100</f>
        <v>32.903225806451616</v>
      </c>
      <c r="J37" s="421">
        <f>Tabela3[[#This Row],[Abaixo do Básico]]*1</f>
        <v>32.903225806451616</v>
      </c>
      <c r="K37" s="421">
        <f>Tabela3[[#This Row],[TOTAL DE ALUNOS NO BÁSICO]]/Tabela3[[#This Row],[TOTAL DE ALUNOS]]*100</f>
        <v>12.580645161290322</v>
      </c>
      <c r="L37" s="421">
        <f>Tabela3[[#This Row],[Básico]]*2</f>
        <v>25.161290322580644</v>
      </c>
      <c r="M37" s="421">
        <f>Tabela3[[#This Row],[TOTAL DE ALUNOS ADEQUADO]]/Tabela3[[#This Row],[TOTAL DE ALUNOS]]*100</f>
        <v>24.838709677419356</v>
      </c>
      <c r="N37" s="421">
        <f>Tabela3[[#This Row],[Adequado]]*3</f>
        <v>74.516129032258064</v>
      </c>
      <c r="O37" s="421">
        <f>Tabela3[[#This Row],[TOTAL DE ALUNOS AVANÇADO]]/Tabela3[[#This Row],[TOTAL DE ALUNOS]]*100</f>
        <v>29.677419354838708</v>
      </c>
      <c r="P37" s="422">
        <f>Tabela3[[#This Row],[Avançado]]*4</f>
        <v>118.70967741935483</v>
      </c>
      <c r="Q37" s="422">
        <f t="shared" si="1"/>
        <v>251.29032258064512</v>
      </c>
      <c r="R37" s="423">
        <f>Tabela3[[#This Row],[Participação]]*100</f>
        <v>96.57</v>
      </c>
      <c r="S37" s="422">
        <f t="shared" si="2"/>
        <v>251.29032258064512</v>
      </c>
      <c r="T37" s="421">
        <f>Tabela3[[#This Row],[Meta 2024]]*0.65</f>
        <v>160.184765</v>
      </c>
      <c r="U37" s="421">
        <v>246.43809999999999</v>
      </c>
      <c r="V37" s="422">
        <f t="shared" si="3"/>
        <v>1.0562554778971172</v>
      </c>
      <c r="W37" s="424">
        <f t="shared" si="4"/>
        <v>1</v>
      </c>
    </row>
    <row r="38" spans="1:23">
      <c r="A38" s="418">
        <v>42</v>
      </c>
      <c r="B38" s="419" t="s">
        <v>52</v>
      </c>
      <c r="C38" s="418">
        <v>60</v>
      </c>
      <c r="D38" s="418">
        <v>24</v>
      </c>
      <c r="E38" s="418">
        <v>35</v>
      </c>
      <c r="F38" s="418">
        <v>71</v>
      </c>
      <c r="G38" s="418">
        <f t="shared" si="0"/>
        <v>190</v>
      </c>
      <c r="H38" s="420">
        <v>0.8962</v>
      </c>
      <c r="I38" s="421">
        <f>Tabela3[[#This Row],[TOTAL DE ALUNOS ABAIXO DO BÁSICO]]/Tabela3[[#This Row],[TOTAL DE ALUNOS]]*100</f>
        <v>31.578947368421051</v>
      </c>
      <c r="J38" s="421">
        <f>Tabela3[[#This Row],[Abaixo do Básico]]*1</f>
        <v>31.578947368421051</v>
      </c>
      <c r="K38" s="421">
        <f>Tabela3[[#This Row],[TOTAL DE ALUNOS NO BÁSICO]]/Tabela3[[#This Row],[TOTAL DE ALUNOS]]*100</f>
        <v>12.631578947368421</v>
      </c>
      <c r="L38" s="421">
        <f>Tabela3[[#This Row],[Básico]]*2</f>
        <v>25.263157894736842</v>
      </c>
      <c r="M38" s="421">
        <f>Tabela3[[#This Row],[TOTAL DE ALUNOS ADEQUADO]]/Tabela3[[#This Row],[TOTAL DE ALUNOS]]*100</f>
        <v>18.421052631578945</v>
      </c>
      <c r="N38" s="421">
        <f>Tabela3[[#This Row],[Adequado]]*3</f>
        <v>55.263157894736835</v>
      </c>
      <c r="O38" s="421">
        <f>Tabela3[[#This Row],[TOTAL DE ALUNOS AVANÇADO]]/Tabela3[[#This Row],[TOTAL DE ALUNOS]]*100</f>
        <v>37.368421052631575</v>
      </c>
      <c r="P38" s="422">
        <f>Tabela3[[#This Row],[Avançado]]*4</f>
        <v>149.4736842105263</v>
      </c>
      <c r="Q38" s="422">
        <f t="shared" si="1"/>
        <v>261.57894736842104</v>
      </c>
      <c r="R38" s="423">
        <f>Tabela3[[#This Row],[Participação]]*100</f>
        <v>89.62</v>
      </c>
      <c r="S38" s="422">
        <f t="shared" si="2"/>
        <v>261.57894736842104</v>
      </c>
      <c r="T38" s="421">
        <f>Tabela3[[#This Row],[Meta 2024]]*0.65</f>
        <v>169.16393000000002</v>
      </c>
      <c r="U38" s="421">
        <v>260.25220000000002</v>
      </c>
      <c r="V38" s="422">
        <f t="shared" si="3"/>
        <v>1.0145655128637423</v>
      </c>
      <c r="W38" s="424">
        <f t="shared" si="4"/>
        <v>1</v>
      </c>
    </row>
    <row r="39" spans="1:23">
      <c r="A39" s="418">
        <v>43</v>
      </c>
      <c r="B39" s="419" t="s">
        <v>175</v>
      </c>
      <c r="C39" s="418">
        <v>48</v>
      </c>
      <c r="D39" s="418">
        <v>14</v>
      </c>
      <c r="E39" s="418">
        <v>57</v>
      </c>
      <c r="F39" s="418">
        <v>68</v>
      </c>
      <c r="G39" s="418">
        <f t="shared" si="0"/>
        <v>187</v>
      </c>
      <c r="H39" s="420">
        <v>0.91220000000000001</v>
      </c>
      <c r="I39" s="421">
        <f>Tabela3[[#This Row],[TOTAL DE ALUNOS ABAIXO DO BÁSICO]]/Tabela3[[#This Row],[TOTAL DE ALUNOS]]*100</f>
        <v>25.668449197860966</v>
      </c>
      <c r="J39" s="421">
        <f>Tabela3[[#This Row],[Abaixo do Básico]]*1</f>
        <v>25.668449197860966</v>
      </c>
      <c r="K39" s="421">
        <f>Tabela3[[#This Row],[TOTAL DE ALUNOS NO BÁSICO]]/Tabela3[[#This Row],[TOTAL DE ALUNOS]]*100</f>
        <v>7.4866310160427805</v>
      </c>
      <c r="L39" s="421">
        <f>Tabela3[[#This Row],[Básico]]*2</f>
        <v>14.973262032085561</v>
      </c>
      <c r="M39" s="421">
        <f>Tabela3[[#This Row],[TOTAL DE ALUNOS ADEQUADO]]/Tabela3[[#This Row],[TOTAL DE ALUNOS]]*100</f>
        <v>30.481283422459892</v>
      </c>
      <c r="N39" s="421">
        <f>Tabela3[[#This Row],[Adequado]]*3</f>
        <v>91.443850267379673</v>
      </c>
      <c r="O39" s="421">
        <f>Tabela3[[#This Row],[TOTAL DE ALUNOS AVANÇADO]]/Tabela3[[#This Row],[TOTAL DE ALUNOS]]*100</f>
        <v>36.363636363636367</v>
      </c>
      <c r="P39" s="422">
        <f>Tabela3[[#This Row],[Avançado]]*4</f>
        <v>145.45454545454547</v>
      </c>
      <c r="Q39" s="422">
        <f t="shared" si="1"/>
        <v>277.54010695187162</v>
      </c>
      <c r="R39" s="423">
        <f>Tabela3[[#This Row],[Participação]]*100</f>
        <v>91.22</v>
      </c>
      <c r="S39" s="422">
        <f t="shared" si="2"/>
        <v>277.54010695187162</v>
      </c>
      <c r="T39" s="421">
        <f>Tabela3[[#This Row],[Meta 2024]]*0.65</f>
        <v>157.63156499999999</v>
      </c>
      <c r="U39" s="421">
        <v>242.51009999999999</v>
      </c>
      <c r="V39" s="422">
        <f t="shared" si="3"/>
        <v>1.41270748784568</v>
      </c>
      <c r="W39" s="424">
        <f t="shared" si="4"/>
        <v>1</v>
      </c>
    </row>
    <row r="40" spans="1:23">
      <c r="A40" s="418">
        <v>44</v>
      </c>
      <c r="B40" s="419" t="s">
        <v>94</v>
      </c>
      <c r="C40" s="418">
        <v>41</v>
      </c>
      <c r="D40" s="418">
        <v>13</v>
      </c>
      <c r="E40" s="418">
        <v>20</v>
      </c>
      <c r="F40" s="418">
        <v>10</v>
      </c>
      <c r="G40" s="418">
        <f t="shared" si="0"/>
        <v>84</v>
      </c>
      <c r="H40" s="420">
        <v>0.8</v>
      </c>
      <c r="I40" s="421">
        <f>Tabela3[[#This Row],[TOTAL DE ALUNOS ABAIXO DO BÁSICO]]/Tabela3[[#This Row],[TOTAL DE ALUNOS]]*100</f>
        <v>48.80952380952381</v>
      </c>
      <c r="J40" s="421">
        <f>Tabela3[[#This Row],[Abaixo do Básico]]*1</f>
        <v>48.80952380952381</v>
      </c>
      <c r="K40" s="421">
        <f>Tabela3[[#This Row],[TOTAL DE ALUNOS NO BÁSICO]]/Tabela3[[#This Row],[TOTAL DE ALUNOS]]*100</f>
        <v>15.476190476190476</v>
      </c>
      <c r="L40" s="421">
        <f>Tabela3[[#This Row],[Básico]]*2</f>
        <v>30.952380952380953</v>
      </c>
      <c r="M40" s="421">
        <f>Tabela3[[#This Row],[TOTAL DE ALUNOS ADEQUADO]]/Tabela3[[#This Row],[TOTAL DE ALUNOS]]*100</f>
        <v>23.809523809523807</v>
      </c>
      <c r="N40" s="421">
        <f>Tabela3[[#This Row],[Adequado]]*3</f>
        <v>71.428571428571416</v>
      </c>
      <c r="O40" s="421">
        <f>Tabela3[[#This Row],[TOTAL DE ALUNOS AVANÇADO]]/Tabela3[[#This Row],[TOTAL DE ALUNOS]]*100</f>
        <v>11.904761904761903</v>
      </c>
      <c r="P40" s="422">
        <f>Tabela3[[#This Row],[Avançado]]*4</f>
        <v>47.619047619047613</v>
      </c>
      <c r="Q40" s="422">
        <f t="shared" si="1"/>
        <v>198.8095238095238</v>
      </c>
      <c r="R40" s="423">
        <f>Tabela3[[#This Row],[Participação]]*100</f>
        <v>80</v>
      </c>
      <c r="S40" s="422">
        <f t="shared" si="2"/>
        <v>198.8095238095238</v>
      </c>
      <c r="T40" s="421">
        <f>Tabela3[[#This Row],[Meta 2024]]*0.65</f>
        <v>107.853785</v>
      </c>
      <c r="U40" s="421">
        <v>165.9289</v>
      </c>
      <c r="V40" s="422">
        <f t="shared" si="3"/>
        <v>1.5661740628412668</v>
      </c>
      <c r="W40" s="424">
        <f t="shared" si="4"/>
        <v>1</v>
      </c>
    </row>
    <row r="41" spans="1:23">
      <c r="A41" s="418">
        <v>45</v>
      </c>
      <c r="B41" s="419" t="s">
        <v>135</v>
      </c>
      <c r="C41" s="418">
        <v>57</v>
      </c>
      <c r="D41" s="418">
        <v>28</v>
      </c>
      <c r="E41" s="418">
        <v>37</v>
      </c>
      <c r="F41" s="418">
        <v>42</v>
      </c>
      <c r="G41" s="418">
        <f t="shared" si="0"/>
        <v>164</v>
      </c>
      <c r="H41" s="420">
        <v>0.84099999999999997</v>
      </c>
      <c r="I41" s="421">
        <f>Tabela3[[#This Row],[TOTAL DE ALUNOS ABAIXO DO BÁSICO]]/Tabela3[[#This Row],[TOTAL DE ALUNOS]]*100</f>
        <v>34.756097560975604</v>
      </c>
      <c r="J41" s="421">
        <f>Tabela3[[#This Row],[Abaixo do Básico]]*1</f>
        <v>34.756097560975604</v>
      </c>
      <c r="K41" s="421">
        <f>Tabela3[[#This Row],[TOTAL DE ALUNOS NO BÁSICO]]/Tabela3[[#This Row],[TOTAL DE ALUNOS]]*100</f>
        <v>17.073170731707318</v>
      </c>
      <c r="L41" s="421">
        <f>Tabela3[[#This Row],[Básico]]*2</f>
        <v>34.146341463414636</v>
      </c>
      <c r="M41" s="421">
        <f>Tabela3[[#This Row],[TOTAL DE ALUNOS ADEQUADO]]/Tabela3[[#This Row],[TOTAL DE ALUNOS]]*100</f>
        <v>22.560975609756099</v>
      </c>
      <c r="N41" s="421">
        <f>Tabela3[[#This Row],[Adequado]]*3</f>
        <v>67.682926829268297</v>
      </c>
      <c r="O41" s="421">
        <f>Tabela3[[#This Row],[TOTAL DE ALUNOS AVANÇADO]]/Tabela3[[#This Row],[TOTAL DE ALUNOS]]*100</f>
        <v>25.609756097560975</v>
      </c>
      <c r="P41" s="422">
        <f>Tabela3[[#This Row],[Avançado]]*4</f>
        <v>102.4390243902439</v>
      </c>
      <c r="Q41" s="422">
        <f t="shared" si="1"/>
        <v>239.02439024390245</v>
      </c>
      <c r="R41" s="423">
        <f>Tabela3[[#This Row],[Participação]]*100</f>
        <v>84.1</v>
      </c>
      <c r="S41" s="422">
        <f t="shared" si="2"/>
        <v>239.02439024390245</v>
      </c>
      <c r="T41" s="421">
        <f>Tabela3[[#This Row],[Meta 2024]]*0.65</f>
        <v>132.93306000000001</v>
      </c>
      <c r="U41" s="421">
        <v>204.51240000000001</v>
      </c>
      <c r="V41" s="422">
        <f t="shared" si="3"/>
        <v>1.4821501601426115</v>
      </c>
      <c r="W41" s="424">
        <f t="shared" si="4"/>
        <v>1</v>
      </c>
    </row>
    <row r="42" spans="1:23">
      <c r="A42" s="418">
        <v>46</v>
      </c>
      <c r="B42" s="419" t="s">
        <v>213</v>
      </c>
      <c r="C42" s="418">
        <v>34</v>
      </c>
      <c r="D42" s="418">
        <v>8</v>
      </c>
      <c r="E42" s="418">
        <v>13</v>
      </c>
      <c r="F42" s="418">
        <v>9</v>
      </c>
      <c r="G42" s="418">
        <f t="shared" si="0"/>
        <v>64</v>
      </c>
      <c r="H42" s="420">
        <v>0.68089999999999995</v>
      </c>
      <c r="I42" s="421">
        <f>Tabela3[[#This Row],[TOTAL DE ALUNOS ABAIXO DO BÁSICO]]/Tabela3[[#This Row],[TOTAL DE ALUNOS]]*100</f>
        <v>53.125</v>
      </c>
      <c r="J42" s="421">
        <f>Tabela3[[#This Row],[Abaixo do Básico]]*1</f>
        <v>53.125</v>
      </c>
      <c r="K42" s="421">
        <f>Tabela3[[#This Row],[TOTAL DE ALUNOS NO BÁSICO]]/Tabela3[[#This Row],[TOTAL DE ALUNOS]]*100</f>
        <v>12.5</v>
      </c>
      <c r="L42" s="421">
        <f>Tabela3[[#This Row],[Básico]]*2</f>
        <v>25</v>
      </c>
      <c r="M42" s="421">
        <f>Tabela3[[#This Row],[TOTAL DE ALUNOS ADEQUADO]]/Tabela3[[#This Row],[TOTAL DE ALUNOS]]*100</f>
        <v>20.3125</v>
      </c>
      <c r="N42" s="421">
        <f>Tabela3[[#This Row],[Adequado]]*3</f>
        <v>60.9375</v>
      </c>
      <c r="O42" s="421">
        <f>Tabela3[[#This Row],[TOTAL DE ALUNOS AVANÇADO]]/Tabela3[[#This Row],[TOTAL DE ALUNOS]]*100</f>
        <v>14.0625</v>
      </c>
      <c r="P42" s="422">
        <f>Tabela3[[#This Row],[Avançado]]*4</f>
        <v>56.25</v>
      </c>
      <c r="Q42" s="422">
        <f t="shared" si="1"/>
        <v>195.3125</v>
      </c>
      <c r="R42" s="423">
        <f>Tabela3[[#This Row],[Participação]]*100</f>
        <v>68.089999999999989</v>
      </c>
      <c r="S42" s="422">
        <f t="shared" si="2"/>
        <v>195.3125</v>
      </c>
      <c r="T42" s="421">
        <f>Tabela3[[#This Row],[Meta 2024]]*0.65</f>
        <v>64.011350000000007</v>
      </c>
      <c r="U42" s="421">
        <v>98.478999999999999</v>
      </c>
      <c r="V42" s="422">
        <f t="shared" si="3"/>
        <v>3.8094024396789461</v>
      </c>
      <c r="W42" s="424">
        <f t="shared" si="4"/>
        <v>1</v>
      </c>
    </row>
    <row r="43" spans="1:23">
      <c r="A43" s="418">
        <v>47</v>
      </c>
      <c r="B43" s="419" t="s">
        <v>152</v>
      </c>
      <c r="C43" s="418">
        <v>27</v>
      </c>
      <c r="D43" s="418">
        <v>13</v>
      </c>
      <c r="E43" s="418">
        <v>21</v>
      </c>
      <c r="F43" s="418">
        <v>26</v>
      </c>
      <c r="G43" s="418">
        <f t="shared" si="0"/>
        <v>87</v>
      </c>
      <c r="H43" s="420">
        <v>0.73729999999999996</v>
      </c>
      <c r="I43" s="421">
        <f>Tabela3[[#This Row],[TOTAL DE ALUNOS ABAIXO DO BÁSICO]]/Tabela3[[#This Row],[TOTAL DE ALUNOS]]*100</f>
        <v>31.03448275862069</v>
      </c>
      <c r="J43" s="421">
        <f>Tabela3[[#This Row],[Abaixo do Básico]]*1</f>
        <v>31.03448275862069</v>
      </c>
      <c r="K43" s="421">
        <f>Tabela3[[#This Row],[TOTAL DE ALUNOS NO BÁSICO]]/Tabela3[[#This Row],[TOTAL DE ALUNOS]]*100</f>
        <v>14.942528735632186</v>
      </c>
      <c r="L43" s="421">
        <f>Tabela3[[#This Row],[Básico]]*2</f>
        <v>29.885057471264371</v>
      </c>
      <c r="M43" s="421">
        <f>Tabela3[[#This Row],[TOTAL DE ALUNOS ADEQUADO]]/Tabela3[[#This Row],[TOTAL DE ALUNOS]]*100</f>
        <v>24.137931034482758</v>
      </c>
      <c r="N43" s="421">
        <f>Tabela3[[#This Row],[Adequado]]*3</f>
        <v>72.41379310344827</v>
      </c>
      <c r="O43" s="421">
        <f>Tabela3[[#This Row],[TOTAL DE ALUNOS AVANÇADO]]/Tabela3[[#This Row],[TOTAL DE ALUNOS]]*100</f>
        <v>29.885057471264371</v>
      </c>
      <c r="P43" s="422">
        <f>Tabela3[[#This Row],[Avançado]]*4</f>
        <v>119.54022988505749</v>
      </c>
      <c r="Q43" s="422">
        <f t="shared" si="1"/>
        <v>252.87356321839081</v>
      </c>
      <c r="R43" s="423">
        <f>Tabela3[[#This Row],[Participação]]*100</f>
        <v>73.72999999999999</v>
      </c>
      <c r="S43" s="422">
        <f t="shared" si="2"/>
        <v>252.87356321839081</v>
      </c>
      <c r="T43" s="421">
        <f>Tabela3[[#This Row],[Meta 2024]]*0.65</f>
        <v>141.60328000000001</v>
      </c>
      <c r="U43" s="421">
        <v>217.85120000000001</v>
      </c>
      <c r="V43" s="422">
        <f t="shared" si="3"/>
        <v>1.4593222112601998</v>
      </c>
      <c r="W43" s="424">
        <f t="shared" si="4"/>
        <v>1</v>
      </c>
    </row>
    <row r="44" spans="1:23">
      <c r="A44" s="418">
        <v>48</v>
      </c>
      <c r="B44" s="419" t="s">
        <v>146</v>
      </c>
      <c r="C44" s="418">
        <v>40</v>
      </c>
      <c r="D44" s="418">
        <v>14</v>
      </c>
      <c r="E44" s="418">
        <v>41</v>
      </c>
      <c r="F44" s="418">
        <v>37</v>
      </c>
      <c r="G44" s="418">
        <f t="shared" si="0"/>
        <v>132</v>
      </c>
      <c r="H44" s="420">
        <v>0.92310000000000003</v>
      </c>
      <c r="I44" s="421">
        <f>Tabela3[[#This Row],[TOTAL DE ALUNOS ABAIXO DO BÁSICO]]/Tabela3[[#This Row],[TOTAL DE ALUNOS]]*100</f>
        <v>30.303030303030305</v>
      </c>
      <c r="J44" s="421">
        <f>Tabela3[[#This Row],[Abaixo do Básico]]*1</f>
        <v>30.303030303030305</v>
      </c>
      <c r="K44" s="421">
        <f>Tabela3[[#This Row],[TOTAL DE ALUNOS NO BÁSICO]]/Tabela3[[#This Row],[TOTAL DE ALUNOS]]*100</f>
        <v>10.606060606060606</v>
      </c>
      <c r="L44" s="421">
        <f>Tabela3[[#This Row],[Básico]]*2</f>
        <v>21.212121212121211</v>
      </c>
      <c r="M44" s="421">
        <f>Tabela3[[#This Row],[TOTAL DE ALUNOS ADEQUADO]]/Tabela3[[#This Row],[TOTAL DE ALUNOS]]*100</f>
        <v>31.060606060606062</v>
      </c>
      <c r="N44" s="421">
        <f>Tabela3[[#This Row],[Adequado]]*3</f>
        <v>93.181818181818187</v>
      </c>
      <c r="O44" s="421">
        <f>Tabela3[[#This Row],[TOTAL DE ALUNOS AVANÇADO]]/Tabela3[[#This Row],[TOTAL DE ALUNOS]]*100</f>
        <v>28.030303030303028</v>
      </c>
      <c r="P44" s="422">
        <f>Tabela3[[#This Row],[Avançado]]*4</f>
        <v>112.12121212121211</v>
      </c>
      <c r="Q44" s="422">
        <f t="shared" si="1"/>
        <v>256.81818181818181</v>
      </c>
      <c r="R44" s="423">
        <f>Tabela3[[#This Row],[Participação]]*100</f>
        <v>92.31</v>
      </c>
      <c r="S44" s="422">
        <f t="shared" si="2"/>
        <v>256.81818181818181</v>
      </c>
      <c r="T44" s="421">
        <f>Tabela3[[#This Row],[Meta 2024]]*0.65</f>
        <v>159.83695</v>
      </c>
      <c r="U44" s="421">
        <v>245.90299999999999</v>
      </c>
      <c r="V44" s="422">
        <f t="shared" si="3"/>
        <v>1.126823315560338</v>
      </c>
      <c r="W44" s="424">
        <f t="shared" si="4"/>
        <v>1</v>
      </c>
    </row>
    <row r="45" spans="1:23">
      <c r="A45" s="418">
        <v>49</v>
      </c>
      <c r="B45" s="419" t="s">
        <v>166</v>
      </c>
      <c r="C45" s="418">
        <v>32</v>
      </c>
      <c r="D45" s="418">
        <v>5</v>
      </c>
      <c r="E45" s="418">
        <v>13</v>
      </c>
      <c r="F45" s="418">
        <v>6</v>
      </c>
      <c r="G45" s="418">
        <f t="shared" si="0"/>
        <v>56</v>
      </c>
      <c r="H45" s="420">
        <v>0.98250000000000004</v>
      </c>
      <c r="I45" s="421">
        <f>Tabela3[[#This Row],[TOTAL DE ALUNOS ABAIXO DO BÁSICO]]/Tabela3[[#This Row],[TOTAL DE ALUNOS]]*100</f>
        <v>57.142857142857139</v>
      </c>
      <c r="J45" s="421">
        <f>Tabela3[[#This Row],[Abaixo do Básico]]*1</f>
        <v>57.142857142857139</v>
      </c>
      <c r="K45" s="421">
        <f>Tabela3[[#This Row],[TOTAL DE ALUNOS NO BÁSICO]]/Tabela3[[#This Row],[TOTAL DE ALUNOS]]*100</f>
        <v>8.9285714285714288</v>
      </c>
      <c r="L45" s="421">
        <f>Tabela3[[#This Row],[Básico]]*2</f>
        <v>17.857142857142858</v>
      </c>
      <c r="M45" s="421">
        <f>Tabela3[[#This Row],[TOTAL DE ALUNOS ADEQUADO]]/Tabela3[[#This Row],[TOTAL DE ALUNOS]]*100</f>
        <v>23.214285714285715</v>
      </c>
      <c r="N45" s="421">
        <f>Tabela3[[#This Row],[Adequado]]*3</f>
        <v>69.642857142857139</v>
      </c>
      <c r="O45" s="421">
        <f>Tabela3[[#This Row],[TOTAL DE ALUNOS AVANÇADO]]/Tabela3[[#This Row],[TOTAL DE ALUNOS]]*100</f>
        <v>10.714285714285714</v>
      </c>
      <c r="P45" s="422">
        <f>Tabela3[[#This Row],[Avançado]]*4</f>
        <v>42.857142857142854</v>
      </c>
      <c r="Q45" s="422">
        <f t="shared" si="1"/>
        <v>187.5</v>
      </c>
      <c r="R45" s="423">
        <f>Tabela3[[#This Row],[Participação]]*100</f>
        <v>98.25</v>
      </c>
      <c r="S45" s="422">
        <f t="shared" si="2"/>
        <v>187.5</v>
      </c>
      <c r="T45" s="421">
        <f>Tabela3[[#This Row],[Meta 2024]]*0.65</f>
        <v>113.84847500000001</v>
      </c>
      <c r="U45" s="421">
        <v>175.1515</v>
      </c>
      <c r="V45" s="422">
        <f t="shared" si="3"/>
        <v>1.2014337791650576</v>
      </c>
      <c r="W45" s="424">
        <f t="shared" si="4"/>
        <v>1</v>
      </c>
    </row>
    <row r="46" spans="1:23">
      <c r="A46" s="418">
        <v>50</v>
      </c>
      <c r="B46" s="419" t="s">
        <v>116</v>
      </c>
      <c r="C46" s="418">
        <v>67</v>
      </c>
      <c r="D46" s="418">
        <v>37</v>
      </c>
      <c r="E46" s="418">
        <v>50</v>
      </c>
      <c r="F46" s="418">
        <v>34</v>
      </c>
      <c r="G46" s="418">
        <f t="shared" si="0"/>
        <v>188</v>
      </c>
      <c r="H46" s="420">
        <v>0.749</v>
      </c>
      <c r="I46" s="421">
        <f>Tabela3[[#This Row],[TOTAL DE ALUNOS ABAIXO DO BÁSICO]]/Tabela3[[#This Row],[TOTAL DE ALUNOS]]*100</f>
        <v>35.638297872340424</v>
      </c>
      <c r="J46" s="421">
        <f>Tabela3[[#This Row],[Abaixo do Básico]]*1</f>
        <v>35.638297872340424</v>
      </c>
      <c r="K46" s="421">
        <f>Tabela3[[#This Row],[TOTAL DE ALUNOS NO BÁSICO]]/Tabela3[[#This Row],[TOTAL DE ALUNOS]]*100</f>
        <v>19.680851063829788</v>
      </c>
      <c r="L46" s="421">
        <f>Tabela3[[#This Row],[Básico]]*2</f>
        <v>39.361702127659576</v>
      </c>
      <c r="M46" s="421">
        <f>Tabela3[[#This Row],[TOTAL DE ALUNOS ADEQUADO]]/Tabela3[[#This Row],[TOTAL DE ALUNOS]]*100</f>
        <v>26.595744680851062</v>
      </c>
      <c r="N46" s="421">
        <f>Tabela3[[#This Row],[Adequado]]*3</f>
        <v>79.787234042553195</v>
      </c>
      <c r="O46" s="421">
        <f>Tabela3[[#This Row],[TOTAL DE ALUNOS AVANÇADO]]/Tabela3[[#This Row],[TOTAL DE ALUNOS]]*100</f>
        <v>18.085106382978726</v>
      </c>
      <c r="P46" s="422">
        <f>Tabela3[[#This Row],[Avançado]]*4</f>
        <v>72.340425531914903</v>
      </c>
      <c r="Q46" s="422">
        <f t="shared" si="1"/>
        <v>227.12765957446811</v>
      </c>
      <c r="R46" s="423">
        <f>Tabela3[[#This Row],[Participação]]*100</f>
        <v>74.900000000000006</v>
      </c>
      <c r="S46" s="422">
        <f t="shared" si="2"/>
        <v>227.12765957446811</v>
      </c>
      <c r="T46" s="421">
        <f>Tabela3[[#This Row],[Meta 2024]]*0.65</f>
        <v>147.10163</v>
      </c>
      <c r="U46" s="421">
        <v>226.31020000000001</v>
      </c>
      <c r="V46" s="422">
        <f t="shared" si="3"/>
        <v>1.0103203425395522</v>
      </c>
      <c r="W46" s="424">
        <f t="shared" si="4"/>
        <v>1</v>
      </c>
    </row>
    <row r="47" spans="1:23">
      <c r="A47" s="418">
        <v>51</v>
      </c>
      <c r="B47" s="419" t="s">
        <v>210</v>
      </c>
      <c r="C47" s="418">
        <v>73</v>
      </c>
      <c r="D47" s="418">
        <v>29</v>
      </c>
      <c r="E47" s="418">
        <v>49</v>
      </c>
      <c r="F47" s="418">
        <v>45</v>
      </c>
      <c r="G47" s="418">
        <f t="shared" si="0"/>
        <v>196</v>
      </c>
      <c r="H47" s="420">
        <v>0.92020000000000002</v>
      </c>
      <c r="I47" s="421">
        <f>Tabela3[[#This Row],[TOTAL DE ALUNOS ABAIXO DO BÁSICO]]/Tabela3[[#This Row],[TOTAL DE ALUNOS]]*100</f>
        <v>37.244897959183675</v>
      </c>
      <c r="J47" s="421">
        <f>Tabela3[[#This Row],[Abaixo do Básico]]*1</f>
        <v>37.244897959183675</v>
      </c>
      <c r="K47" s="421">
        <f>Tabela3[[#This Row],[TOTAL DE ALUNOS NO BÁSICO]]/Tabela3[[#This Row],[TOTAL DE ALUNOS]]*100</f>
        <v>14.795918367346939</v>
      </c>
      <c r="L47" s="421">
        <f>Tabela3[[#This Row],[Básico]]*2</f>
        <v>29.591836734693878</v>
      </c>
      <c r="M47" s="421">
        <f>Tabela3[[#This Row],[TOTAL DE ALUNOS ADEQUADO]]/Tabela3[[#This Row],[TOTAL DE ALUNOS]]*100</f>
        <v>25</v>
      </c>
      <c r="N47" s="421">
        <f>Tabela3[[#This Row],[Adequado]]*3</f>
        <v>75</v>
      </c>
      <c r="O47" s="421">
        <f>Tabela3[[#This Row],[TOTAL DE ALUNOS AVANÇADO]]/Tabela3[[#This Row],[TOTAL DE ALUNOS]]*100</f>
        <v>22.95918367346939</v>
      </c>
      <c r="P47" s="422">
        <f>Tabela3[[#This Row],[Avançado]]*4</f>
        <v>91.83673469387756</v>
      </c>
      <c r="Q47" s="422">
        <f t="shared" si="1"/>
        <v>233.67346938775512</v>
      </c>
      <c r="R47" s="423">
        <f>Tabela3[[#This Row],[Participação]]*100</f>
        <v>92.02</v>
      </c>
      <c r="S47" s="422">
        <f t="shared" si="2"/>
        <v>233.67346938775512</v>
      </c>
      <c r="T47" s="421">
        <f>Tabela3[[#This Row],[Meta 2024]]*0.65</f>
        <v>140.10126</v>
      </c>
      <c r="U47" s="421">
        <v>215.54040000000001</v>
      </c>
      <c r="V47" s="422">
        <f t="shared" si="3"/>
        <v>1.2403668624503821</v>
      </c>
      <c r="W47" s="424">
        <f t="shared" si="4"/>
        <v>1</v>
      </c>
    </row>
    <row r="48" spans="1:23">
      <c r="A48" s="418">
        <v>52</v>
      </c>
      <c r="B48" s="419" t="s">
        <v>197</v>
      </c>
      <c r="C48" s="418">
        <v>27</v>
      </c>
      <c r="D48" s="418">
        <v>12</v>
      </c>
      <c r="E48" s="418">
        <v>12</v>
      </c>
      <c r="F48" s="418">
        <v>11</v>
      </c>
      <c r="G48" s="418">
        <f t="shared" si="0"/>
        <v>62</v>
      </c>
      <c r="H48" s="420">
        <v>0.88570000000000004</v>
      </c>
      <c r="I48" s="421">
        <f>Tabela3[[#This Row],[TOTAL DE ALUNOS ABAIXO DO BÁSICO]]/Tabela3[[#This Row],[TOTAL DE ALUNOS]]*100</f>
        <v>43.548387096774192</v>
      </c>
      <c r="J48" s="421">
        <f>Tabela3[[#This Row],[Abaixo do Básico]]*1</f>
        <v>43.548387096774192</v>
      </c>
      <c r="K48" s="421">
        <f>Tabela3[[#This Row],[TOTAL DE ALUNOS NO BÁSICO]]/Tabela3[[#This Row],[TOTAL DE ALUNOS]]*100</f>
        <v>19.35483870967742</v>
      </c>
      <c r="L48" s="421">
        <f>Tabela3[[#This Row],[Básico]]*2</f>
        <v>38.70967741935484</v>
      </c>
      <c r="M48" s="421">
        <f>Tabela3[[#This Row],[TOTAL DE ALUNOS ADEQUADO]]/Tabela3[[#This Row],[TOTAL DE ALUNOS]]*100</f>
        <v>19.35483870967742</v>
      </c>
      <c r="N48" s="421">
        <f>Tabela3[[#This Row],[Adequado]]*3</f>
        <v>58.064516129032256</v>
      </c>
      <c r="O48" s="421">
        <f>Tabela3[[#This Row],[TOTAL DE ALUNOS AVANÇADO]]/Tabela3[[#This Row],[TOTAL DE ALUNOS]]*100</f>
        <v>17.741935483870968</v>
      </c>
      <c r="P48" s="422">
        <f>Tabela3[[#This Row],[Avançado]]*4</f>
        <v>70.967741935483872</v>
      </c>
      <c r="Q48" s="422">
        <f t="shared" si="1"/>
        <v>211.29032258064515</v>
      </c>
      <c r="R48" s="423">
        <f>Tabela3[[#This Row],[Participação]]*100</f>
        <v>88.570000000000007</v>
      </c>
      <c r="S48" s="422">
        <f t="shared" si="2"/>
        <v>211.29032258064515</v>
      </c>
      <c r="T48" s="421">
        <f>Tabela3[[#This Row],[Meta 2024]]*0.65</f>
        <v>117.541645</v>
      </c>
      <c r="U48" s="421">
        <v>180.83330000000001</v>
      </c>
      <c r="V48" s="422">
        <f t="shared" si="3"/>
        <v>1.4812170353365723</v>
      </c>
      <c r="W48" s="424">
        <f t="shared" si="4"/>
        <v>1</v>
      </c>
    </row>
    <row r="49" spans="1:23">
      <c r="A49" s="418">
        <v>53</v>
      </c>
      <c r="B49" s="419" t="s">
        <v>201</v>
      </c>
      <c r="C49" s="418">
        <v>51</v>
      </c>
      <c r="D49" s="418">
        <v>14</v>
      </c>
      <c r="E49" s="418">
        <v>24</v>
      </c>
      <c r="F49" s="418">
        <v>16</v>
      </c>
      <c r="G49" s="418">
        <f t="shared" si="0"/>
        <v>105</v>
      </c>
      <c r="H49" s="420">
        <v>0.82030000000000003</v>
      </c>
      <c r="I49" s="421">
        <f>Tabela3[[#This Row],[TOTAL DE ALUNOS ABAIXO DO BÁSICO]]/Tabela3[[#This Row],[TOTAL DE ALUNOS]]*100</f>
        <v>48.571428571428569</v>
      </c>
      <c r="J49" s="421">
        <f>Tabela3[[#This Row],[Abaixo do Básico]]*1</f>
        <v>48.571428571428569</v>
      </c>
      <c r="K49" s="421">
        <f>Tabela3[[#This Row],[TOTAL DE ALUNOS NO BÁSICO]]/Tabela3[[#This Row],[TOTAL DE ALUNOS]]*100</f>
        <v>13.333333333333334</v>
      </c>
      <c r="L49" s="421">
        <f>Tabela3[[#This Row],[Básico]]*2</f>
        <v>26.666666666666668</v>
      </c>
      <c r="M49" s="421">
        <f>Tabela3[[#This Row],[TOTAL DE ALUNOS ADEQUADO]]/Tabela3[[#This Row],[TOTAL DE ALUNOS]]*100</f>
        <v>22.857142857142858</v>
      </c>
      <c r="N49" s="421">
        <f>Tabela3[[#This Row],[Adequado]]*3</f>
        <v>68.571428571428569</v>
      </c>
      <c r="O49" s="421">
        <f>Tabela3[[#This Row],[TOTAL DE ALUNOS AVANÇADO]]/Tabela3[[#This Row],[TOTAL DE ALUNOS]]*100</f>
        <v>15.238095238095239</v>
      </c>
      <c r="P49" s="422">
        <f>Tabela3[[#This Row],[Avançado]]*4</f>
        <v>60.952380952380956</v>
      </c>
      <c r="Q49" s="422">
        <f t="shared" si="1"/>
        <v>204.76190476190476</v>
      </c>
      <c r="R49" s="423">
        <f>Tabela3[[#This Row],[Participação]]*100</f>
        <v>82.03</v>
      </c>
      <c r="S49" s="422">
        <f t="shared" si="2"/>
        <v>204.76190476190476</v>
      </c>
      <c r="T49" s="421">
        <f>Tabela3[[#This Row],[Meta 2024]]*0.65</f>
        <v>132.17125999999999</v>
      </c>
      <c r="U49" s="421">
        <v>203.34039999999999</v>
      </c>
      <c r="V49" s="422">
        <f t="shared" si="3"/>
        <v>1.019973611623026</v>
      </c>
      <c r="W49" s="424">
        <f t="shared" si="4"/>
        <v>1</v>
      </c>
    </row>
    <row r="50" spans="1:23">
      <c r="A50" s="418">
        <v>54</v>
      </c>
      <c r="B50" s="419" t="s">
        <v>106</v>
      </c>
      <c r="C50" s="418">
        <v>51</v>
      </c>
      <c r="D50" s="418">
        <v>24</v>
      </c>
      <c r="E50" s="418">
        <v>50</v>
      </c>
      <c r="F50" s="418">
        <v>29</v>
      </c>
      <c r="G50" s="418">
        <f t="shared" si="0"/>
        <v>154</v>
      </c>
      <c r="H50" s="420">
        <v>0.8508</v>
      </c>
      <c r="I50" s="421">
        <f>Tabela3[[#This Row],[TOTAL DE ALUNOS ABAIXO DO BÁSICO]]/Tabela3[[#This Row],[TOTAL DE ALUNOS]]*100</f>
        <v>33.116883116883116</v>
      </c>
      <c r="J50" s="421">
        <f>Tabela3[[#This Row],[Abaixo do Básico]]*1</f>
        <v>33.116883116883116</v>
      </c>
      <c r="K50" s="421">
        <f>Tabela3[[#This Row],[TOTAL DE ALUNOS NO BÁSICO]]/Tabela3[[#This Row],[TOTAL DE ALUNOS]]*100</f>
        <v>15.584415584415584</v>
      </c>
      <c r="L50" s="421">
        <f>Tabela3[[#This Row],[Básico]]*2</f>
        <v>31.168831168831169</v>
      </c>
      <c r="M50" s="421">
        <f>Tabela3[[#This Row],[TOTAL DE ALUNOS ADEQUADO]]/Tabela3[[#This Row],[TOTAL DE ALUNOS]]*100</f>
        <v>32.467532467532465</v>
      </c>
      <c r="N50" s="421">
        <f>Tabela3[[#This Row],[Adequado]]*3</f>
        <v>97.402597402597394</v>
      </c>
      <c r="O50" s="421">
        <f>Tabela3[[#This Row],[TOTAL DE ALUNOS AVANÇADO]]/Tabela3[[#This Row],[TOTAL DE ALUNOS]]*100</f>
        <v>18.831168831168831</v>
      </c>
      <c r="P50" s="422">
        <f>Tabela3[[#This Row],[Avançado]]*4</f>
        <v>75.324675324675326</v>
      </c>
      <c r="Q50" s="422">
        <f t="shared" si="1"/>
        <v>237.012987012987</v>
      </c>
      <c r="R50" s="423">
        <f>Tabela3[[#This Row],[Participação]]*100</f>
        <v>85.08</v>
      </c>
      <c r="S50" s="422">
        <f t="shared" si="2"/>
        <v>237.012987012987</v>
      </c>
      <c r="T50" s="421">
        <f>Tabela3[[#This Row],[Meta 2024]]*0.65</f>
        <v>85.778225000000006</v>
      </c>
      <c r="U50" s="421">
        <v>131.9665</v>
      </c>
      <c r="V50" s="422">
        <f t="shared" si="3"/>
        <v>3.2743106776121649</v>
      </c>
      <c r="W50" s="424">
        <f t="shared" si="4"/>
        <v>1</v>
      </c>
    </row>
    <row r="51" spans="1:23">
      <c r="A51" s="418">
        <v>55</v>
      </c>
      <c r="B51" s="419" t="s">
        <v>81</v>
      </c>
      <c r="C51" s="418">
        <v>71</v>
      </c>
      <c r="D51" s="418">
        <v>24</v>
      </c>
      <c r="E51" s="418">
        <v>24</v>
      </c>
      <c r="F51" s="418">
        <v>24</v>
      </c>
      <c r="G51" s="418">
        <f t="shared" si="0"/>
        <v>143</v>
      </c>
      <c r="H51" s="420">
        <v>0.79890000000000005</v>
      </c>
      <c r="I51" s="421">
        <f>Tabela3[[#This Row],[TOTAL DE ALUNOS ABAIXO DO BÁSICO]]/Tabela3[[#This Row],[TOTAL DE ALUNOS]]*100</f>
        <v>49.650349650349654</v>
      </c>
      <c r="J51" s="421">
        <f>Tabela3[[#This Row],[Abaixo do Básico]]*1</f>
        <v>49.650349650349654</v>
      </c>
      <c r="K51" s="421">
        <f>Tabela3[[#This Row],[TOTAL DE ALUNOS NO BÁSICO]]/Tabela3[[#This Row],[TOTAL DE ALUNOS]]*100</f>
        <v>16.783216783216783</v>
      </c>
      <c r="L51" s="421">
        <f>Tabela3[[#This Row],[Básico]]*2</f>
        <v>33.566433566433567</v>
      </c>
      <c r="M51" s="421">
        <f>Tabela3[[#This Row],[TOTAL DE ALUNOS ADEQUADO]]/Tabela3[[#This Row],[TOTAL DE ALUNOS]]*100</f>
        <v>16.783216783216783</v>
      </c>
      <c r="N51" s="421">
        <f>Tabela3[[#This Row],[Adequado]]*3</f>
        <v>50.349650349650346</v>
      </c>
      <c r="O51" s="421">
        <f>Tabela3[[#This Row],[TOTAL DE ALUNOS AVANÇADO]]/Tabela3[[#This Row],[TOTAL DE ALUNOS]]*100</f>
        <v>16.783216783216783</v>
      </c>
      <c r="P51" s="422">
        <f>Tabela3[[#This Row],[Avançado]]*4</f>
        <v>67.132867132867133</v>
      </c>
      <c r="Q51" s="422">
        <f t="shared" si="1"/>
        <v>200.69930069930069</v>
      </c>
      <c r="R51" s="423">
        <f>Tabela3[[#This Row],[Participação]]*100</f>
        <v>79.89</v>
      </c>
      <c r="S51" s="422">
        <f t="shared" si="2"/>
        <v>200.69930069930069</v>
      </c>
      <c r="T51" s="421">
        <f>Tabela3[[#This Row],[Meta 2024]]*0.65</f>
        <v>66.062944999999999</v>
      </c>
      <c r="U51" s="421">
        <v>101.6353</v>
      </c>
      <c r="V51" s="422">
        <f t="shared" si="3"/>
        <v>3.7848592172011295</v>
      </c>
      <c r="W51" s="424">
        <f t="shared" si="4"/>
        <v>1</v>
      </c>
    </row>
    <row r="52" spans="1:23">
      <c r="A52" s="418">
        <v>56</v>
      </c>
      <c r="B52" s="419" t="s">
        <v>147</v>
      </c>
      <c r="C52" s="418">
        <v>86</v>
      </c>
      <c r="D52" s="418">
        <v>30</v>
      </c>
      <c r="E52" s="418">
        <v>75</v>
      </c>
      <c r="F52" s="418">
        <v>80</v>
      </c>
      <c r="G52" s="418">
        <f t="shared" si="0"/>
        <v>271</v>
      </c>
      <c r="H52" s="420">
        <v>0.9345</v>
      </c>
      <c r="I52" s="421">
        <f>Tabela3[[#This Row],[TOTAL DE ALUNOS ABAIXO DO BÁSICO]]/Tabela3[[#This Row],[TOTAL DE ALUNOS]]*100</f>
        <v>31.73431734317343</v>
      </c>
      <c r="J52" s="421">
        <f>Tabela3[[#This Row],[Abaixo do Básico]]*1</f>
        <v>31.73431734317343</v>
      </c>
      <c r="K52" s="421">
        <f>Tabela3[[#This Row],[TOTAL DE ALUNOS NO BÁSICO]]/Tabela3[[#This Row],[TOTAL DE ALUNOS]]*100</f>
        <v>11.07011070110701</v>
      </c>
      <c r="L52" s="421">
        <f>Tabela3[[#This Row],[Básico]]*2</f>
        <v>22.140221402214021</v>
      </c>
      <c r="M52" s="421">
        <f>Tabela3[[#This Row],[TOTAL DE ALUNOS ADEQUADO]]/Tabela3[[#This Row],[TOTAL DE ALUNOS]]*100</f>
        <v>27.67527675276753</v>
      </c>
      <c r="N52" s="421">
        <f>Tabela3[[#This Row],[Adequado]]*3</f>
        <v>83.025830258302591</v>
      </c>
      <c r="O52" s="421">
        <f>Tabela3[[#This Row],[TOTAL DE ALUNOS AVANÇADO]]/Tabela3[[#This Row],[TOTAL DE ALUNOS]]*100</f>
        <v>29.520295202952028</v>
      </c>
      <c r="P52" s="422">
        <f>Tabela3[[#This Row],[Avançado]]*4</f>
        <v>118.08118081180811</v>
      </c>
      <c r="Q52" s="422">
        <f t="shared" si="1"/>
        <v>254.98154981549817</v>
      </c>
      <c r="R52" s="423">
        <f>Tabela3[[#This Row],[Participação]]*100</f>
        <v>93.45</v>
      </c>
      <c r="S52" s="422">
        <f t="shared" si="2"/>
        <v>254.98154981549817</v>
      </c>
      <c r="T52" s="421">
        <f>Tabela3[[#This Row],[Meta 2024]]*0.65</f>
        <v>163.60448</v>
      </c>
      <c r="U52" s="421">
        <v>251.69919999999999</v>
      </c>
      <c r="V52" s="422">
        <f t="shared" si="3"/>
        <v>1.0372593251388753</v>
      </c>
      <c r="W52" s="424">
        <f t="shared" si="4"/>
        <v>1</v>
      </c>
    </row>
    <row r="53" spans="1:23">
      <c r="A53" s="418">
        <v>57</v>
      </c>
      <c r="B53" s="419" t="s">
        <v>171</v>
      </c>
      <c r="C53" s="418">
        <v>32</v>
      </c>
      <c r="D53" s="418">
        <v>11</v>
      </c>
      <c r="E53" s="418">
        <v>11</v>
      </c>
      <c r="F53" s="418">
        <v>9</v>
      </c>
      <c r="G53" s="418">
        <f t="shared" si="0"/>
        <v>63</v>
      </c>
      <c r="H53" s="420">
        <v>0.94030000000000002</v>
      </c>
      <c r="I53" s="421">
        <f>Tabela3[[#This Row],[TOTAL DE ALUNOS ABAIXO DO BÁSICO]]/Tabela3[[#This Row],[TOTAL DE ALUNOS]]*100</f>
        <v>50.793650793650791</v>
      </c>
      <c r="J53" s="421">
        <f>Tabela3[[#This Row],[Abaixo do Básico]]*1</f>
        <v>50.793650793650791</v>
      </c>
      <c r="K53" s="421">
        <f>Tabela3[[#This Row],[TOTAL DE ALUNOS NO BÁSICO]]/Tabela3[[#This Row],[TOTAL DE ALUNOS]]*100</f>
        <v>17.460317460317459</v>
      </c>
      <c r="L53" s="421">
        <f>Tabela3[[#This Row],[Básico]]*2</f>
        <v>34.920634920634917</v>
      </c>
      <c r="M53" s="421">
        <f>Tabela3[[#This Row],[TOTAL DE ALUNOS ADEQUADO]]/Tabela3[[#This Row],[TOTAL DE ALUNOS]]*100</f>
        <v>17.460317460317459</v>
      </c>
      <c r="N53" s="421">
        <f>Tabela3[[#This Row],[Adequado]]*3</f>
        <v>52.38095238095238</v>
      </c>
      <c r="O53" s="421">
        <f>Tabela3[[#This Row],[TOTAL DE ALUNOS AVANÇADO]]/Tabela3[[#This Row],[TOTAL DE ALUNOS]]*100</f>
        <v>14.285714285714285</v>
      </c>
      <c r="P53" s="422">
        <f>Tabela3[[#This Row],[Avançado]]*4</f>
        <v>57.142857142857139</v>
      </c>
      <c r="Q53" s="422">
        <f t="shared" si="1"/>
        <v>195.23809523809521</v>
      </c>
      <c r="R53" s="423">
        <f>Tabela3[[#This Row],[Participação]]*100</f>
        <v>94.03</v>
      </c>
      <c r="S53" s="422">
        <f t="shared" si="2"/>
        <v>195.23809523809521</v>
      </c>
      <c r="T53" s="421">
        <f>Tabela3[[#This Row],[Meta 2024]]*0.65</f>
        <v>93.749565000000004</v>
      </c>
      <c r="U53" s="421">
        <v>144.23009999999999</v>
      </c>
      <c r="V53" s="422">
        <f t="shared" si="3"/>
        <v>2.010448784627485</v>
      </c>
      <c r="W53" s="424">
        <f t="shared" si="4"/>
        <v>1</v>
      </c>
    </row>
    <row r="54" spans="1:23">
      <c r="A54" s="418">
        <v>58</v>
      </c>
      <c r="B54" s="419" t="s">
        <v>3</v>
      </c>
      <c r="C54" s="418">
        <v>44</v>
      </c>
      <c r="D54" s="418">
        <v>16</v>
      </c>
      <c r="E54" s="418">
        <v>23</v>
      </c>
      <c r="F54" s="418">
        <v>3</v>
      </c>
      <c r="G54" s="418">
        <f t="shared" si="0"/>
        <v>86</v>
      </c>
      <c r="H54" s="420">
        <v>0.92469999999999997</v>
      </c>
      <c r="I54" s="421">
        <f>Tabela3[[#This Row],[TOTAL DE ALUNOS ABAIXO DO BÁSICO]]/Tabela3[[#This Row],[TOTAL DE ALUNOS]]*100</f>
        <v>51.162790697674424</v>
      </c>
      <c r="J54" s="421">
        <f>Tabela3[[#This Row],[Abaixo do Básico]]*1</f>
        <v>51.162790697674424</v>
      </c>
      <c r="K54" s="421">
        <f>Tabela3[[#This Row],[TOTAL DE ALUNOS NO BÁSICO]]/Tabela3[[#This Row],[TOTAL DE ALUNOS]]*100</f>
        <v>18.604651162790699</v>
      </c>
      <c r="L54" s="421">
        <f>Tabela3[[#This Row],[Básico]]*2</f>
        <v>37.209302325581397</v>
      </c>
      <c r="M54" s="421">
        <f>Tabela3[[#This Row],[TOTAL DE ALUNOS ADEQUADO]]/Tabela3[[#This Row],[TOTAL DE ALUNOS]]*100</f>
        <v>26.744186046511626</v>
      </c>
      <c r="N54" s="421">
        <f>Tabela3[[#This Row],[Adequado]]*3</f>
        <v>80.232558139534873</v>
      </c>
      <c r="O54" s="421">
        <f>Tabela3[[#This Row],[TOTAL DE ALUNOS AVANÇADO]]/Tabela3[[#This Row],[TOTAL DE ALUNOS]]*100</f>
        <v>3.4883720930232558</v>
      </c>
      <c r="P54" s="422">
        <f>Tabela3[[#This Row],[Avançado]]*4</f>
        <v>13.953488372093023</v>
      </c>
      <c r="Q54" s="422">
        <f t="shared" si="1"/>
        <v>182.55813953488371</v>
      </c>
      <c r="R54" s="423">
        <f>Tabela3[[#This Row],[Participação]]*100</f>
        <v>92.47</v>
      </c>
      <c r="S54" s="422">
        <f t="shared" si="2"/>
        <v>182.55813953488371</v>
      </c>
      <c r="T54" s="421">
        <f>Tabela3[[#This Row],[Meta 2024]]*0.65</f>
        <v>123.57832499999999</v>
      </c>
      <c r="U54" s="421">
        <v>190.12049999999999</v>
      </c>
      <c r="V54" s="422">
        <f t="shared" si="3"/>
        <v>0.88635237028070868</v>
      </c>
      <c r="W54" s="424">
        <f t="shared" si="4"/>
        <v>0.88635237028070868</v>
      </c>
    </row>
    <row r="55" spans="1:23">
      <c r="A55" s="418">
        <v>59</v>
      </c>
      <c r="B55" s="419" t="s">
        <v>174</v>
      </c>
      <c r="C55" s="418">
        <v>53</v>
      </c>
      <c r="D55" s="418">
        <v>12</v>
      </c>
      <c r="E55" s="418">
        <v>17</v>
      </c>
      <c r="F55" s="418">
        <v>5</v>
      </c>
      <c r="G55" s="418">
        <f t="shared" si="0"/>
        <v>87</v>
      </c>
      <c r="H55" s="420">
        <v>0.77680000000000005</v>
      </c>
      <c r="I55" s="421">
        <f>Tabela3[[#This Row],[TOTAL DE ALUNOS ABAIXO DO BÁSICO]]/Tabela3[[#This Row],[TOTAL DE ALUNOS]]*100</f>
        <v>60.919540229885058</v>
      </c>
      <c r="J55" s="421">
        <f>Tabela3[[#This Row],[Abaixo do Básico]]*1</f>
        <v>60.919540229885058</v>
      </c>
      <c r="K55" s="421">
        <f>Tabela3[[#This Row],[TOTAL DE ALUNOS NO BÁSICO]]/Tabela3[[#This Row],[TOTAL DE ALUNOS]]*100</f>
        <v>13.793103448275861</v>
      </c>
      <c r="L55" s="421">
        <f>Tabela3[[#This Row],[Básico]]*2</f>
        <v>27.586206896551722</v>
      </c>
      <c r="M55" s="421">
        <f>Tabela3[[#This Row],[TOTAL DE ALUNOS ADEQUADO]]/Tabela3[[#This Row],[TOTAL DE ALUNOS]]*100</f>
        <v>19.540229885057471</v>
      </c>
      <c r="N55" s="421">
        <f>Tabela3[[#This Row],[Adequado]]*3</f>
        <v>58.620689655172413</v>
      </c>
      <c r="O55" s="421">
        <f>Tabela3[[#This Row],[TOTAL DE ALUNOS AVANÇADO]]/Tabela3[[#This Row],[TOTAL DE ALUNOS]]*100</f>
        <v>5.7471264367816088</v>
      </c>
      <c r="P55" s="422">
        <f>Tabela3[[#This Row],[Avançado]]*4</f>
        <v>22.988505747126435</v>
      </c>
      <c r="Q55" s="422">
        <f t="shared" si="1"/>
        <v>170.11494252873561</v>
      </c>
      <c r="R55" s="423">
        <f>Tabela3[[#This Row],[Participação]]*100</f>
        <v>77.680000000000007</v>
      </c>
      <c r="S55" s="422">
        <f t="shared" si="2"/>
        <v>170.11494252873561</v>
      </c>
      <c r="T55" s="421">
        <f>Tabela3[[#This Row],[Meta 2024]]*0.65</f>
        <v>123.227975</v>
      </c>
      <c r="U55" s="421">
        <v>189.58150000000001</v>
      </c>
      <c r="V55" s="422">
        <f t="shared" si="3"/>
        <v>0.70662361236627003</v>
      </c>
      <c r="W55" s="424">
        <f t="shared" si="4"/>
        <v>0.70662361236627003</v>
      </c>
    </row>
    <row r="56" spans="1:23">
      <c r="A56" s="418">
        <v>60</v>
      </c>
      <c r="B56" s="419" t="s">
        <v>83</v>
      </c>
      <c r="C56" s="418">
        <v>61</v>
      </c>
      <c r="D56" s="418">
        <v>22</v>
      </c>
      <c r="E56" s="418">
        <v>31</v>
      </c>
      <c r="F56" s="418">
        <v>17</v>
      </c>
      <c r="G56" s="418">
        <f t="shared" si="0"/>
        <v>131</v>
      </c>
      <c r="H56" s="420">
        <v>0.69310000000000005</v>
      </c>
      <c r="I56" s="421">
        <f>Tabela3[[#This Row],[TOTAL DE ALUNOS ABAIXO DO BÁSICO]]/Tabela3[[#This Row],[TOTAL DE ALUNOS]]*100</f>
        <v>46.564885496183209</v>
      </c>
      <c r="J56" s="421">
        <f>Tabela3[[#This Row],[Abaixo do Básico]]*1</f>
        <v>46.564885496183209</v>
      </c>
      <c r="K56" s="421">
        <f>Tabela3[[#This Row],[TOTAL DE ALUNOS NO BÁSICO]]/Tabela3[[#This Row],[TOTAL DE ALUNOS]]*100</f>
        <v>16.793893129770993</v>
      </c>
      <c r="L56" s="421">
        <f>Tabela3[[#This Row],[Básico]]*2</f>
        <v>33.587786259541986</v>
      </c>
      <c r="M56" s="421">
        <f>Tabela3[[#This Row],[TOTAL DE ALUNOS ADEQUADO]]/Tabela3[[#This Row],[TOTAL DE ALUNOS]]*100</f>
        <v>23.664122137404579</v>
      </c>
      <c r="N56" s="421">
        <f>Tabela3[[#This Row],[Adequado]]*3</f>
        <v>70.992366412213741</v>
      </c>
      <c r="O56" s="421">
        <f>Tabela3[[#This Row],[TOTAL DE ALUNOS AVANÇADO]]/Tabela3[[#This Row],[TOTAL DE ALUNOS]]*100</f>
        <v>12.977099236641221</v>
      </c>
      <c r="P56" s="422">
        <f>Tabela3[[#This Row],[Avançado]]*4</f>
        <v>51.908396946564885</v>
      </c>
      <c r="Q56" s="422">
        <f t="shared" si="1"/>
        <v>203.05343511450383</v>
      </c>
      <c r="R56" s="423">
        <f>Tabela3[[#This Row],[Participação]]*100</f>
        <v>69.31</v>
      </c>
      <c r="S56" s="422">
        <f t="shared" si="2"/>
        <v>203.05343511450383</v>
      </c>
      <c r="T56" s="421">
        <f>Tabela3[[#This Row],[Meta 2024]]*0.65</f>
        <v>119.71563500000001</v>
      </c>
      <c r="U56" s="421">
        <v>184.17789999999999</v>
      </c>
      <c r="V56" s="422">
        <f t="shared" si="3"/>
        <v>1.2928152635422263</v>
      </c>
      <c r="W56" s="424">
        <f t="shared" si="4"/>
        <v>1</v>
      </c>
    </row>
    <row r="57" spans="1:23">
      <c r="A57" s="418">
        <v>61</v>
      </c>
      <c r="B57" s="419" t="s">
        <v>148</v>
      </c>
      <c r="C57" s="418">
        <v>47</v>
      </c>
      <c r="D57" s="418">
        <v>23</v>
      </c>
      <c r="E57" s="418">
        <v>46</v>
      </c>
      <c r="F57" s="418">
        <v>91</v>
      </c>
      <c r="G57" s="418">
        <f t="shared" si="0"/>
        <v>207</v>
      </c>
      <c r="H57" s="420">
        <v>0.95389999999999997</v>
      </c>
      <c r="I57" s="421">
        <f>Tabela3[[#This Row],[TOTAL DE ALUNOS ABAIXO DO BÁSICO]]/Tabela3[[#This Row],[TOTAL DE ALUNOS]]*100</f>
        <v>22.705314009661837</v>
      </c>
      <c r="J57" s="421">
        <f>Tabela3[[#This Row],[Abaixo do Básico]]*1</f>
        <v>22.705314009661837</v>
      </c>
      <c r="K57" s="421">
        <f>Tabela3[[#This Row],[TOTAL DE ALUNOS NO BÁSICO]]/Tabela3[[#This Row],[TOTAL DE ALUNOS]]*100</f>
        <v>11.111111111111111</v>
      </c>
      <c r="L57" s="421">
        <f>Tabela3[[#This Row],[Básico]]*2</f>
        <v>22.222222222222221</v>
      </c>
      <c r="M57" s="421">
        <f>Tabela3[[#This Row],[TOTAL DE ALUNOS ADEQUADO]]/Tabela3[[#This Row],[TOTAL DE ALUNOS]]*100</f>
        <v>22.222222222222221</v>
      </c>
      <c r="N57" s="421">
        <f>Tabela3[[#This Row],[Adequado]]*3</f>
        <v>66.666666666666657</v>
      </c>
      <c r="O57" s="421">
        <f>Tabela3[[#This Row],[TOTAL DE ALUNOS AVANÇADO]]/Tabela3[[#This Row],[TOTAL DE ALUNOS]]*100</f>
        <v>43.961352657004831</v>
      </c>
      <c r="P57" s="422">
        <f>Tabela3[[#This Row],[Avançado]]*4</f>
        <v>175.84541062801932</v>
      </c>
      <c r="Q57" s="422">
        <f t="shared" si="1"/>
        <v>287.43961352657004</v>
      </c>
      <c r="R57" s="423">
        <f>Tabela3[[#This Row],[Participação]]*100</f>
        <v>95.39</v>
      </c>
      <c r="S57" s="422">
        <f t="shared" si="2"/>
        <v>287.43961352657004</v>
      </c>
      <c r="T57" s="421">
        <f>Tabela3[[#This Row],[Meta 2024]]*0.65</f>
        <v>175.23863499999999</v>
      </c>
      <c r="U57" s="421">
        <v>269.59789999999998</v>
      </c>
      <c r="V57" s="422">
        <f t="shared" si="3"/>
        <v>1.189082794642053</v>
      </c>
      <c r="W57" s="424">
        <f t="shared" si="4"/>
        <v>1</v>
      </c>
    </row>
    <row r="58" spans="1:23">
      <c r="A58" s="418">
        <v>62</v>
      </c>
      <c r="B58" s="419" t="s">
        <v>218</v>
      </c>
      <c r="C58" s="418">
        <v>45</v>
      </c>
      <c r="D58" s="418">
        <v>16</v>
      </c>
      <c r="E58" s="418">
        <v>14</v>
      </c>
      <c r="F58" s="418">
        <v>15</v>
      </c>
      <c r="G58" s="418">
        <f t="shared" si="0"/>
        <v>90</v>
      </c>
      <c r="H58" s="420">
        <v>0.8911</v>
      </c>
      <c r="I58" s="421">
        <f>Tabela3[[#This Row],[TOTAL DE ALUNOS ABAIXO DO BÁSICO]]/Tabela3[[#This Row],[TOTAL DE ALUNOS]]*100</f>
        <v>50</v>
      </c>
      <c r="J58" s="421">
        <f>Tabela3[[#This Row],[Abaixo do Básico]]*1</f>
        <v>50</v>
      </c>
      <c r="K58" s="421">
        <f>Tabela3[[#This Row],[TOTAL DE ALUNOS NO BÁSICO]]/Tabela3[[#This Row],[TOTAL DE ALUNOS]]*100</f>
        <v>17.777777777777779</v>
      </c>
      <c r="L58" s="421">
        <f>Tabela3[[#This Row],[Básico]]*2</f>
        <v>35.555555555555557</v>
      </c>
      <c r="M58" s="421">
        <f>Tabela3[[#This Row],[TOTAL DE ALUNOS ADEQUADO]]/Tabela3[[#This Row],[TOTAL DE ALUNOS]]*100</f>
        <v>15.555555555555555</v>
      </c>
      <c r="N58" s="421">
        <f>Tabela3[[#This Row],[Adequado]]*3</f>
        <v>46.666666666666664</v>
      </c>
      <c r="O58" s="421">
        <f>Tabela3[[#This Row],[TOTAL DE ALUNOS AVANÇADO]]/Tabela3[[#This Row],[TOTAL DE ALUNOS]]*100</f>
        <v>16.666666666666664</v>
      </c>
      <c r="P58" s="422">
        <f>Tabela3[[#This Row],[Avançado]]*4</f>
        <v>66.666666666666657</v>
      </c>
      <c r="Q58" s="422">
        <f t="shared" si="1"/>
        <v>198.88888888888889</v>
      </c>
      <c r="R58" s="423">
        <f>Tabela3[[#This Row],[Participação]]*100</f>
        <v>89.11</v>
      </c>
      <c r="S58" s="422">
        <f t="shared" si="2"/>
        <v>198.88888888888889</v>
      </c>
      <c r="T58" s="421">
        <f>Tabela3[[#This Row],[Meta 2024]]*0.65</f>
        <v>109.74496000000001</v>
      </c>
      <c r="U58" s="421">
        <v>168.83840000000001</v>
      </c>
      <c r="V58" s="422">
        <f t="shared" si="3"/>
        <v>1.5085249545277595</v>
      </c>
      <c r="W58" s="424">
        <f t="shared" si="4"/>
        <v>1</v>
      </c>
    </row>
    <row r="59" spans="1:23">
      <c r="A59" s="418">
        <v>63</v>
      </c>
      <c r="B59" s="419" t="s">
        <v>180</v>
      </c>
      <c r="C59" s="418">
        <v>23</v>
      </c>
      <c r="D59" s="418">
        <v>5</v>
      </c>
      <c r="E59" s="418">
        <v>3</v>
      </c>
      <c r="F59" s="418">
        <v>1</v>
      </c>
      <c r="G59" s="418">
        <f t="shared" si="0"/>
        <v>32</v>
      </c>
      <c r="H59" s="420">
        <v>1</v>
      </c>
      <c r="I59" s="421">
        <f>Tabela3[[#This Row],[TOTAL DE ALUNOS ABAIXO DO BÁSICO]]/Tabela3[[#This Row],[TOTAL DE ALUNOS]]*100</f>
        <v>71.875</v>
      </c>
      <c r="J59" s="421">
        <f>Tabela3[[#This Row],[Abaixo do Básico]]*1</f>
        <v>71.875</v>
      </c>
      <c r="K59" s="421">
        <f>Tabela3[[#This Row],[TOTAL DE ALUNOS NO BÁSICO]]/Tabela3[[#This Row],[TOTAL DE ALUNOS]]*100</f>
        <v>15.625</v>
      </c>
      <c r="L59" s="421">
        <f>Tabela3[[#This Row],[Básico]]*2</f>
        <v>31.25</v>
      </c>
      <c r="M59" s="421">
        <f>Tabela3[[#This Row],[TOTAL DE ALUNOS ADEQUADO]]/Tabela3[[#This Row],[TOTAL DE ALUNOS]]*100</f>
        <v>9.375</v>
      </c>
      <c r="N59" s="421">
        <f>Tabela3[[#This Row],[Adequado]]*3</f>
        <v>28.125</v>
      </c>
      <c r="O59" s="421">
        <f>Tabela3[[#This Row],[TOTAL DE ALUNOS AVANÇADO]]/Tabela3[[#This Row],[TOTAL DE ALUNOS]]*100</f>
        <v>3.125</v>
      </c>
      <c r="P59" s="422">
        <f>Tabela3[[#This Row],[Avançado]]*4</f>
        <v>12.5</v>
      </c>
      <c r="Q59" s="422">
        <f t="shared" si="1"/>
        <v>143.75</v>
      </c>
      <c r="R59" s="423">
        <f>Tabela3[[#This Row],[Participação]]*100</f>
        <v>100</v>
      </c>
      <c r="S59" s="422">
        <f t="shared" si="2"/>
        <v>143.75</v>
      </c>
      <c r="T59" s="421">
        <f>Tabela3[[#This Row],[Meta 2024]]*0.65</f>
        <v>98.090914999999995</v>
      </c>
      <c r="U59" s="421">
        <v>150.9091</v>
      </c>
      <c r="V59" s="422">
        <f t="shared" si="3"/>
        <v>0.86445766737346252</v>
      </c>
      <c r="W59" s="424">
        <f t="shared" si="4"/>
        <v>0.86445766737346252</v>
      </c>
    </row>
    <row r="60" spans="1:23">
      <c r="A60" s="418">
        <v>64</v>
      </c>
      <c r="B60" s="419" t="s">
        <v>190</v>
      </c>
      <c r="C60" s="418">
        <v>77</v>
      </c>
      <c r="D60" s="418">
        <v>31</v>
      </c>
      <c r="E60" s="418">
        <v>60</v>
      </c>
      <c r="F60" s="418">
        <v>79</v>
      </c>
      <c r="G60" s="418">
        <f t="shared" si="0"/>
        <v>247</v>
      </c>
      <c r="H60" s="420">
        <v>0.8206</v>
      </c>
      <c r="I60" s="421">
        <f>Tabela3[[#This Row],[TOTAL DE ALUNOS ABAIXO DO BÁSICO]]/Tabela3[[#This Row],[TOTAL DE ALUNOS]]*100</f>
        <v>31.174089068825911</v>
      </c>
      <c r="J60" s="421">
        <f>Tabela3[[#This Row],[Abaixo do Básico]]*1</f>
        <v>31.174089068825911</v>
      </c>
      <c r="K60" s="421">
        <f>Tabela3[[#This Row],[TOTAL DE ALUNOS NO BÁSICO]]/Tabela3[[#This Row],[TOTAL DE ALUNOS]]*100</f>
        <v>12.550607287449392</v>
      </c>
      <c r="L60" s="421">
        <f>Tabela3[[#This Row],[Básico]]*2</f>
        <v>25.101214574898783</v>
      </c>
      <c r="M60" s="421">
        <f>Tabela3[[#This Row],[TOTAL DE ALUNOS ADEQUADO]]/Tabela3[[#This Row],[TOTAL DE ALUNOS]]*100</f>
        <v>24.291497975708502</v>
      </c>
      <c r="N60" s="421">
        <f>Tabela3[[#This Row],[Adequado]]*3</f>
        <v>72.874493927125513</v>
      </c>
      <c r="O60" s="421">
        <f>Tabela3[[#This Row],[TOTAL DE ALUNOS AVANÇADO]]/Tabela3[[#This Row],[TOTAL DE ALUNOS]]*100</f>
        <v>31.983805668016196</v>
      </c>
      <c r="P60" s="422">
        <f>Tabela3[[#This Row],[Avançado]]*4</f>
        <v>127.93522267206478</v>
      </c>
      <c r="Q60" s="422">
        <f t="shared" si="1"/>
        <v>257.08502024291499</v>
      </c>
      <c r="R60" s="423">
        <f>Tabela3[[#This Row],[Participação]]*100</f>
        <v>82.06</v>
      </c>
      <c r="S60" s="422">
        <f t="shared" si="2"/>
        <v>257.08502024291499</v>
      </c>
      <c r="T60" s="421">
        <f>Tabela3[[#This Row],[Meta 2024]]*0.65</f>
        <v>149.21140000000003</v>
      </c>
      <c r="U60" s="421">
        <v>229.55600000000001</v>
      </c>
      <c r="V60" s="422">
        <f t="shared" si="3"/>
        <v>1.3426368448273436</v>
      </c>
      <c r="W60" s="424">
        <f t="shared" si="4"/>
        <v>1</v>
      </c>
    </row>
    <row r="61" spans="1:23">
      <c r="A61" s="418">
        <v>65</v>
      </c>
      <c r="B61" s="419" t="s">
        <v>187</v>
      </c>
      <c r="C61" s="418">
        <v>24</v>
      </c>
      <c r="D61" s="418">
        <v>9</v>
      </c>
      <c r="E61" s="418">
        <v>11</v>
      </c>
      <c r="F61" s="418">
        <v>20</v>
      </c>
      <c r="G61" s="418">
        <f t="shared" si="0"/>
        <v>64</v>
      </c>
      <c r="H61" s="420">
        <v>0.81010000000000004</v>
      </c>
      <c r="I61" s="421">
        <f>Tabela3[[#This Row],[TOTAL DE ALUNOS ABAIXO DO BÁSICO]]/Tabela3[[#This Row],[TOTAL DE ALUNOS]]*100</f>
        <v>37.5</v>
      </c>
      <c r="J61" s="421">
        <f>Tabela3[[#This Row],[Abaixo do Básico]]*1</f>
        <v>37.5</v>
      </c>
      <c r="K61" s="421">
        <f>Tabela3[[#This Row],[TOTAL DE ALUNOS NO BÁSICO]]/Tabela3[[#This Row],[TOTAL DE ALUNOS]]*100</f>
        <v>14.0625</v>
      </c>
      <c r="L61" s="421">
        <f>Tabela3[[#This Row],[Básico]]*2</f>
        <v>28.125</v>
      </c>
      <c r="M61" s="421">
        <f>Tabela3[[#This Row],[TOTAL DE ALUNOS ADEQUADO]]/Tabela3[[#This Row],[TOTAL DE ALUNOS]]*100</f>
        <v>17.1875</v>
      </c>
      <c r="N61" s="421">
        <f>Tabela3[[#This Row],[Adequado]]*3</f>
        <v>51.5625</v>
      </c>
      <c r="O61" s="421">
        <f>Tabela3[[#This Row],[TOTAL DE ALUNOS AVANÇADO]]/Tabela3[[#This Row],[TOTAL DE ALUNOS]]*100</f>
        <v>31.25</v>
      </c>
      <c r="P61" s="422">
        <f>Tabela3[[#This Row],[Avançado]]*4</f>
        <v>125</v>
      </c>
      <c r="Q61" s="422">
        <f t="shared" si="1"/>
        <v>242.1875</v>
      </c>
      <c r="R61" s="423">
        <f>Tabela3[[#This Row],[Participação]]*100</f>
        <v>81.010000000000005</v>
      </c>
      <c r="S61" s="422">
        <f t="shared" si="2"/>
        <v>242.1875</v>
      </c>
      <c r="T61" s="421">
        <f>Tabela3[[#This Row],[Meta 2024]]*0.65</f>
        <v>157.59081</v>
      </c>
      <c r="U61" s="421">
        <v>242.44739999999999</v>
      </c>
      <c r="V61" s="422">
        <f t="shared" si="3"/>
        <v>0.99693718543250454</v>
      </c>
      <c r="W61" s="424">
        <f t="shared" si="4"/>
        <v>0.99693718543250454</v>
      </c>
    </row>
    <row r="62" spans="1:23">
      <c r="A62" s="418">
        <v>66</v>
      </c>
      <c r="B62" s="419" t="s">
        <v>224</v>
      </c>
      <c r="C62" s="418">
        <v>72</v>
      </c>
      <c r="D62" s="418">
        <v>27</v>
      </c>
      <c r="E62" s="418">
        <v>41</v>
      </c>
      <c r="F62" s="418">
        <v>35</v>
      </c>
      <c r="G62" s="418">
        <f t="shared" si="0"/>
        <v>175</v>
      </c>
      <c r="H62" s="420">
        <v>0.82940000000000003</v>
      </c>
      <c r="I62" s="421">
        <f>Tabela3[[#This Row],[TOTAL DE ALUNOS ABAIXO DO BÁSICO]]/Tabela3[[#This Row],[TOTAL DE ALUNOS]]*100</f>
        <v>41.142857142857139</v>
      </c>
      <c r="J62" s="421">
        <f>Tabela3[[#This Row],[Abaixo do Básico]]*1</f>
        <v>41.142857142857139</v>
      </c>
      <c r="K62" s="421">
        <f>Tabela3[[#This Row],[TOTAL DE ALUNOS NO BÁSICO]]/Tabela3[[#This Row],[TOTAL DE ALUNOS]]*100</f>
        <v>15.428571428571427</v>
      </c>
      <c r="L62" s="421">
        <f>Tabela3[[#This Row],[Básico]]*2</f>
        <v>30.857142857142854</v>
      </c>
      <c r="M62" s="421">
        <f>Tabela3[[#This Row],[TOTAL DE ALUNOS ADEQUADO]]/Tabela3[[#This Row],[TOTAL DE ALUNOS]]*100</f>
        <v>23.428571428571431</v>
      </c>
      <c r="N62" s="421">
        <f>Tabela3[[#This Row],[Adequado]]*3</f>
        <v>70.285714285714292</v>
      </c>
      <c r="O62" s="421">
        <f>Tabela3[[#This Row],[TOTAL DE ALUNOS AVANÇADO]]/Tabela3[[#This Row],[TOTAL DE ALUNOS]]*100</f>
        <v>20</v>
      </c>
      <c r="P62" s="422">
        <f>Tabela3[[#This Row],[Avançado]]*4</f>
        <v>80</v>
      </c>
      <c r="Q62" s="422">
        <f t="shared" si="1"/>
        <v>222.28571428571428</v>
      </c>
      <c r="R62" s="423">
        <f>Tabela3[[#This Row],[Participação]]*100</f>
        <v>82.94</v>
      </c>
      <c r="S62" s="422">
        <f t="shared" si="2"/>
        <v>222.28571428571428</v>
      </c>
      <c r="T62" s="421">
        <f>Tabela3[[#This Row],[Meta 2024]]*0.65</f>
        <v>145.93546499999999</v>
      </c>
      <c r="U62" s="421">
        <v>224.51609999999999</v>
      </c>
      <c r="V62" s="422">
        <f t="shared" si="3"/>
        <v>0.9716165984878371</v>
      </c>
      <c r="W62" s="424">
        <f t="shared" si="4"/>
        <v>0.9716165984878371</v>
      </c>
    </row>
    <row r="63" spans="1:23">
      <c r="A63" s="418">
        <v>67</v>
      </c>
      <c r="B63" s="419" t="s">
        <v>161</v>
      </c>
      <c r="C63" s="418">
        <v>63</v>
      </c>
      <c r="D63" s="418">
        <v>38</v>
      </c>
      <c r="E63" s="418">
        <v>66</v>
      </c>
      <c r="F63" s="418">
        <v>72</v>
      </c>
      <c r="G63" s="418">
        <f t="shared" si="0"/>
        <v>239</v>
      </c>
      <c r="H63" s="420">
        <v>0.85970000000000002</v>
      </c>
      <c r="I63" s="421">
        <f>Tabela3[[#This Row],[TOTAL DE ALUNOS ABAIXO DO BÁSICO]]/Tabela3[[#This Row],[TOTAL DE ALUNOS]]*100</f>
        <v>26.359832635983267</v>
      </c>
      <c r="J63" s="421">
        <f>Tabela3[[#This Row],[Abaixo do Básico]]*1</f>
        <v>26.359832635983267</v>
      </c>
      <c r="K63" s="421">
        <f>Tabela3[[#This Row],[TOTAL DE ALUNOS NO BÁSICO]]/Tabela3[[#This Row],[TOTAL DE ALUNOS]]*100</f>
        <v>15.899581589958158</v>
      </c>
      <c r="L63" s="421">
        <f>Tabela3[[#This Row],[Básico]]*2</f>
        <v>31.799163179916317</v>
      </c>
      <c r="M63" s="421">
        <f>Tabela3[[#This Row],[TOTAL DE ALUNOS ADEQUADO]]/Tabela3[[#This Row],[TOTAL DE ALUNOS]]*100</f>
        <v>27.615062761506277</v>
      </c>
      <c r="N63" s="421">
        <f>Tabela3[[#This Row],[Adequado]]*3</f>
        <v>82.845188284518827</v>
      </c>
      <c r="O63" s="421">
        <f>Tabela3[[#This Row],[TOTAL DE ALUNOS AVANÇADO]]/Tabela3[[#This Row],[TOTAL DE ALUNOS]]*100</f>
        <v>30.125523012552303</v>
      </c>
      <c r="P63" s="422">
        <f>Tabela3[[#This Row],[Avançado]]*4</f>
        <v>120.50209205020921</v>
      </c>
      <c r="Q63" s="422">
        <f t="shared" si="1"/>
        <v>261.50627615062763</v>
      </c>
      <c r="R63" s="423">
        <f>Tabela3[[#This Row],[Participação]]*100</f>
        <v>85.97</v>
      </c>
      <c r="S63" s="422">
        <f t="shared" si="2"/>
        <v>261.50627615062763</v>
      </c>
      <c r="T63" s="421">
        <f>Tabela3[[#This Row],[Meta 2024]]*0.65</f>
        <v>168.385165</v>
      </c>
      <c r="U63" s="421">
        <v>259.05410000000001</v>
      </c>
      <c r="V63" s="422">
        <f t="shared" si="3"/>
        <v>1.0270453838531093</v>
      </c>
      <c r="W63" s="424">
        <f t="shared" si="4"/>
        <v>1</v>
      </c>
    </row>
    <row r="64" spans="1:23">
      <c r="A64" s="418">
        <v>68</v>
      </c>
      <c r="B64" s="419" t="s">
        <v>92</v>
      </c>
      <c r="C64" s="418">
        <v>53</v>
      </c>
      <c r="D64" s="418">
        <v>20</v>
      </c>
      <c r="E64" s="418">
        <v>46</v>
      </c>
      <c r="F64" s="418">
        <v>36</v>
      </c>
      <c r="G64" s="418">
        <f t="shared" si="0"/>
        <v>155</v>
      </c>
      <c r="H64" s="420">
        <v>0.83779999999999999</v>
      </c>
      <c r="I64" s="421">
        <f>Tabela3[[#This Row],[TOTAL DE ALUNOS ABAIXO DO BÁSICO]]/Tabela3[[#This Row],[TOTAL DE ALUNOS]]*100</f>
        <v>34.193548387096776</v>
      </c>
      <c r="J64" s="421">
        <f>Tabela3[[#This Row],[Abaixo do Básico]]*1</f>
        <v>34.193548387096776</v>
      </c>
      <c r="K64" s="421">
        <f>Tabela3[[#This Row],[TOTAL DE ALUNOS NO BÁSICO]]/Tabela3[[#This Row],[TOTAL DE ALUNOS]]*100</f>
        <v>12.903225806451612</v>
      </c>
      <c r="L64" s="421">
        <f>Tabela3[[#This Row],[Básico]]*2</f>
        <v>25.806451612903224</v>
      </c>
      <c r="M64" s="421">
        <f>Tabela3[[#This Row],[TOTAL DE ALUNOS ADEQUADO]]/Tabela3[[#This Row],[TOTAL DE ALUNOS]]*100</f>
        <v>29.677419354838708</v>
      </c>
      <c r="N64" s="421">
        <f>Tabela3[[#This Row],[Adequado]]*3</f>
        <v>89.032258064516128</v>
      </c>
      <c r="O64" s="421">
        <f>Tabela3[[#This Row],[TOTAL DE ALUNOS AVANÇADO]]/Tabela3[[#This Row],[TOTAL DE ALUNOS]]*100</f>
        <v>23.225806451612904</v>
      </c>
      <c r="P64" s="422">
        <f>Tabela3[[#This Row],[Avançado]]*4</f>
        <v>92.903225806451616</v>
      </c>
      <c r="Q64" s="422">
        <f t="shared" si="1"/>
        <v>241.93548387096774</v>
      </c>
      <c r="R64" s="423">
        <f>Tabela3[[#This Row],[Participação]]*100</f>
        <v>83.78</v>
      </c>
      <c r="S64" s="422">
        <f t="shared" si="2"/>
        <v>241.93548387096774</v>
      </c>
      <c r="T64" s="421">
        <f>Tabela3[[#This Row],[Meta 2024]]*0.65</f>
        <v>173.21252000000001</v>
      </c>
      <c r="U64" s="421">
        <v>266.48079999999999</v>
      </c>
      <c r="V64" s="422">
        <f t="shared" si="3"/>
        <v>0.7368310412818565</v>
      </c>
      <c r="W64" s="424">
        <f t="shared" si="4"/>
        <v>0.7368310412818565</v>
      </c>
    </row>
    <row r="65" spans="1:23">
      <c r="A65" s="418">
        <v>69</v>
      </c>
      <c r="B65" s="419" t="s">
        <v>226</v>
      </c>
      <c r="C65" s="418">
        <v>37</v>
      </c>
      <c r="D65" s="418">
        <v>7</v>
      </c>
      <c r="E65" s="418">
        <v>12</v>
      </c>
      <c r="F65" s="418">
        <v>2</v>
      </c>
      <c r="G65" s="418">
        <f t="shared" si="0"/>
        <v>58</v>
      </c>
      <c r="H65" s="420">
        <v>0.95079999999999998</v>
      </c>
      <c r="I65" s="421">
        <f>Tabela3[[#This Row],[TOTAL DE ALUNOS ABAIXO DO BÁSICO]]/Tabela3[[#This Row],[TOTAL DE ALUNOS]]*100</f>
        <v>63.793103448275865</v>
      </c>
      <c r="J65" s="421">
        <f>Tabela3[[#This Row],[Abaixo do Básico]]*1</f>
        <v>63.793103448275865</v>
      </c>
      <c r="K65" s="421">
        <f>Tabela3[[#This Row],[TOTAL DE ALUNOS NO BÁSICO]]/Tabela3[[#This Row],[TOTAL DE ALUNOS]]*100</f>
        <v>12.068965517241379</v>
      </c>
      <c r="L65" s="421">
        <f>Tabela3[[#This Row],[Básico]]*2</f>
        <v>24.137931034482758</v>
      </c>
      <c r="M65" s="421">
        <f>Tabela3[[#This Row],[TOTAL DE ALUNOS ADEQUADO]]/Tabela3[[#This Row],[TOTAL DE ALUNOS]]*100</f>
        <v>20.689655172413794</v>
      </c>
      <c r="N65" s="421">
        <f>Tabela3[[#This Row],[Adequado]]*3</f>
        <v>62.068965517241381</v>
      </c>
      <c r="O65" s="421">
        <f>Tabela3[[#This Row],[TOTAL DE ALUNOS AVANÇADO]]/Tabela3[[#This Row],[TOTAL DE ALUNOS]]*100</f>
        <v>3.4482758620689653</v>
      </c>
      <c r="P65" s="422">
        <f>Tabela3[[#This Row],[Avançado]]*4</f>
        <v>13.793103448275861</v>
      </c>
      <c r="Q65" s="422">
        <f t="shared" si="1"/>
        <v>163.79310344827587</v>
      </c>
      <c r="R65" s="423">
        <f>Tabela3[[#This Row],[Participação]]*100</f>
        <v>95.08</v>
      </c>
      <c r="S65" s="422">
        <f t="shared" si="2"/>
        <v>163.79310344827587</v>
      </c>
      <c r="T65" s="421">
        <f>Tabela3[[#This Row],[Meta 2024]]*0.65</f>
        <v>116.16579</v>
      </c>
      <c r="U65" s="421">
        <v>178.7166</v>
      </c>
      <c r="V65" s="422">
        <f t="shared" si="3"/>
        <v>0.76141801278474053</v>
      </c>
      <c r="W65" s="424">
        <f t="shared" si="4"/>
        <v>0.76141801278474053</v>
      </c>
    </row>
    <row r="66" spans="1:23">
      <c r="A66" s="418">
        <v>70</v>
      </c>
      <c r="B66" s="419" t="s">
        <v>158</v>
      </c>
      <c r="C66" s="418">
        <v>37</v>
      </c>
      <c r="D66" s="418">
        <v>22</v>
      </c>
      <c r="E66" s="418">
        <v>21</v>
      </c>
      <c r="F66" s="418">
        <v>57</v>
      </c>
      <c r="G66" s="418">
        <f t="shared" si="0"/>
        <v>137</v>
      </c>
      <c r="H66" s="420">
        <v>0.89539999999999997</v>
      </c>
      <c r="I66" s="421">
        <f>Tabela3[[#This Row],[TOTAL DE ALUNOS ABAIXO DO BÁSICO]]/Tabela3[[#This Row],[TOTAL DE ALUNOS]]*100</f>
        <v>27.007299270072991</v>
      </c>
      <c r="J66" s="421">
        <f>Tabela3[[#This Row],[Abaixo do Básico]]*1</f>
        <v>27.007299270072991</v>
      </c>
      <c r="K66" s="421">
        <f>Tabela3[[#This Row],[TOTAL DE ALUNOS NO BÁSICO]]/Tabela3[[#This Row],[TOTAL DE ALUNOS]]*100</f>
        <v>16.058394160583941</v>
      </c>
      <c r="L66" s="421">
        <f>Tabela3[[#This Row],[Básico]]*2</f>
        <v>32.116788321167881</v>
      </c>
      <c r="M66" s="421">
        <f>Tabela3[[#This Row],[TOTAL DE ALUNOS ADEQUADO]]/Tabela3[[#This Row],[TOTAL DE ALUNOS]]*100</f>
        <v>15.328467153284672</v>
      </c>
      <c r="N66" s="421">
        <f>Tabela3[[#This Row],[Adequado]]*3</f>
        <v>45.985401459854018</v>
      </c>
      <c r="O66" s="421">
        <f>Tabela3[[#This Row],[TOTAL DE ALUNOS AVANÇADO]]/Tabela3[[#This Row],[TOTAL DE ALUNOS]]*100</f>
        <v>41.605839416058394</v>
      </c>
      <c r="P66" s="422">
        <f>Tabela3[[#This Row],[Avançado]]*4</f>
        <v>166.42335766423358</v>
      </c>
      <c r="Q66" s="422">
        <f t="shared" si="1"/>
        <v>271.53284671532845</v>
      </c>
      <c r="R66" s="423">
        <f>Tabela3[[#This Row],[Participação]]*100</f>
        <v>89.539999999999992</v>
      </c>
      <c r="S66" s="422">
        <f t="shared" si="2"/>
        <v>271.53284671532845</v>
      </c>
      <c r="T66" s="421">
        <f>Tabela3[[#This Row],[Meta 2024]]*0.65</f>
        <v>168.00530499999999</v>
      </c>
      <c r="U66" s="421">
        <v>258.46969999999999</v>
      </c>
      <c r="V66" s="422">
        <f t="shared" si="3"/>
        <v>1.1444009736131928</v>
      </c>
      <c r="W66" s="424">
        <f t="shared" si="4"/>
        <v>1</v>
      </c>
    </row>
    <row r="67" spans="1:23">
      <c r="A67" s="418">
        <v>71</v>
      </c>
      <c r="B67" s="419" t="s">
        <v>25</v>
      </c>
      <c r="C67" s="418">
        <v>32</v>
      </c>
      <c r="D67" s="418">
        <v>14</v>
      </c>
      <c r="E67" s="418">
        <v>14</v>
      </c>
      <c r="F67" s="418">
        <v>7</v>
      </c>
      <c r="G67" s="418">
        <f t="shared" si="0"/>
        <v>67</v>
      </c>
      <c r="H67" s="420">
        <v>0.97099999999999997</v>
      </c>
      <c r="I67" s="421">
        <f>Tabela3[[#This Row],[TOTAL DE ALUNOS ABAIXO DO BÁSICO]]/Tabela3[[#This Row],[TOTAL DE ALUNOS]]*100</f>
        <v>47.761194029850742</v>
      </c>
      <c r="J67" s="421">
        <f>Tabela3[[#This Row],[Abaixo do Básico]]*1</f>
        <v>47.761194029850742</v>
      </c>
      <c r="K67" s="421">
        <f>Tabela3[[#This Row],[TOTAL DE ALUNOS NO BÁSICO]]/Tabela3[[#This Row],[TOTAL DE ALUNOS]]*100</f>
        <v>20.8955223880597</v>
      </c>
      <c r="L67" s="421">
        <f>Tabela3[[#This Row],[Básico]]*2</f>
        <v>41.791044776119399</v>
      </c>
      <c r="M67" s="421">
        <f>Tabela3[[#This Row],[TOTAL DE ALUNOS ADEQUADO]]/Tabela3[[#This Row],[TOTAL DE ALUNOS]]*100</f>
        <v>20.8955223880597</v>
      </c>
      <c r="N67" s="421">
        <f>Tabela3[[#This Row],[Adequado]]*3</f>
        <v>62.686567164179095</v>
      </c>
      <c r="O67" s="421">
        <f>Tabela3[[#This Row],[TOTAL DE ALUNOS AVANÇADO]]/Tabela3[[#This Row],[TOTAL DE ALUNOS]]*100</f>
        <v>10.44776119402985</v>
      </c>
      <c r="P67" s="422">
        <f>Tabela3[[#This Row],[Avançado]]*4</f>
        <v>41.791044776119399</v>
      </c>
      <c r="Q67" s="422">
        <f t="shared" si="1"/>
        <v>194.02985074626866</v>
      </c>
      <c r="R67" s="423">
        <f>Tabela3[[#This Row],[Participação]]*100</f>
        <v>97.1</v>
      </c>
      <c r="S67" s="422">
        <f t="shared" si="2"/>
        <v>194.02985074626866</v>
      </c>
      <c r="T67" s="421">
        <f>Tabela3[[#This Row],[Meta 2024]]*0.65</f>
        <v>135.95731499999999</v>
      </c>
      <c r="U67" s="421">
        <v>209.1651</v>
      </c>
      <c r="V67" s="422">
        <f t="shared" si="3"/>
        <v>0.79325628751462252</v>
      </c>
      <c r="W67" s="424">
        <f t="shared" si="4"/>
        <v>0.79325628751462252</v>
      </c>
    </row>
    <row r="68" spans="1:23">
      <c r="A68" s="418">
        <v>72</v>
      </c>
      <c r="B68" s="419" t="s">
        <v>220</v>
      </c>
      <c r="C68" s="418">
        <v>39</v>
      </c>
      <c r="D68" s="418">
        <v>6</v>
      </c>
      <c r="E68" s="418">
        <v>6</v>
      </c>
      <c r="F68" s="418">
        <v>6</v>
      </c>
      <c r="G68" s="418">
        <f t="shared" si="0"/>
        <v>57</v>
      </c>
      <c r="H68" s="420">
        <v>0.9194</v>
      </c>
      <c r="I68" s="421">
        <f>Tabela3[[#This Row],[TOTAL DE ALUNOS ABAIXO DO BÁSICO]]/Tabela3[[#This Row],[TOTAL DE ALUNOS]]*100</f>
        <v>68.421052631578945</v>
      </c>
      <c r="J68" s="421">
        <f>Tabela3[[#This Row],[Abaixo do Básico]]*1</f>
        <v>68.421052631578945</v>
      </c>
      <c r="K68" s="421">
        <f>Tabela3[[#This Row],[TOTAL DE ALUNOS NO BÁSICO]]/Tabela3[[#This Row],[TOTAL DE ALUNOS]]*100</f>
        <v>10.526315789473683</v>
      </c>
      <c r="L68" s="421">
        <f>Tabela3[[#This Row],[Básico]]*2</f>
        <v>21.052631578947366</v>
      </c>
      <c r="M68" s="421">
        <f>Tabela3[[#This Row],[TOTAL DE ALUNOS ADEQUADO]]/Tabela3[[#This Row],[TOTAL DE ALUNOS]]*100</f>
        <v>10.526315789473683</v>
      </c>
      <c r="N68" s="421">
        <f>Tabela3[[#This Row],[Adequado]]*3</f>
        <v>31.578947368421048</v>
      </c>
      <c r="O68" s="421">
        <f>Tabela3[[#This Row],[TOTAL DE ALUNOS AVANÇADO]]/Tabela3[[#This Row],[TOTAL DE ALUNOS]]*100</f>
        <v>10.526315789473683</v>
      </c>
      <c r="P68" s="422">
        <f>Tabela3[[#This Row],[Avançado]]*4</f>
        <v>42.105263157894733</v>
      </c>
      <c r="Q68" s="422">
        <f t="shared" si="1"/>
        <v>163.15789473684211</v>
      </c>
      <c r="R68" s="423">
        <f>Tabela3[[#This Row],[Participação]]*100</f>
        <v>91.94</v>
      </c>
      <c r="S68" s="422">
        <f t="shared" si="2"/>
        <v>163.15789473684211</v>
      </c>
      <c r="T68" s="421">
        <f>Tabela3[[#This Row],[Meta 2024]]*0.65</f>
        <v>124.01467</v>
      </c>
      <c r="U68" s="421">
        <v>190.79179999999999</v>
      </c>
      <c r="V68" s="422">
        <f t="shared" si="3"/>
        <v>0.58617710489866992</v>
      </c>
      <c r="W68" s="424">
        <f t="shared" si="4"/>
        <v>0.58617710489866992</v>
      </c>
    </row>
    <row r="69" spans="1:23">
      <c r="A69" s="418">
        <v>73</v>
      </c>
      <c r="B69" s="419" t="s">
        <v>93</v>
      </c>
      <c r="C69" s="418">
        <v>75</v>
      </c>
      <c r="D69" s="418">
        <v>26</v>
      </c>
      <c r="E69" s="418">
        <v>33</v>
      </c>
      <c r="F69" s="418">
        <v>45</v>
      </c>
      <c r="G69" s="418">
        <f t="shared" ref="G69:G132" si="6">SUM(C69:F69)</f>
        <v>179</v>
      </c>
      <c r="H69" s="420">
        <v>0.95720000000000005</v>
      </c>
      <c r="I69" s="421">
        <f>Tabela3[[#This Row],[TOTAL DE ALUNOS ABAIXO DO BÁSICO]]/Tabela3[[#This Row],[TOTAL DE ALUNOS]]*100</f>
        <v>41.899441340782126</v>
      </c>
      <c r="J69" s="421">
        <f>Tabela3[[#This Row],[Abaixo do Básico]]*1</f>
        <v>41.899441340782126</v>
      </c>
      <c r="K69" s="421">
        <f>Tabela3[[#This Row],[TOTAL DE ALUNOS NO BÁSICO]]/Tabela3[[#This Row],[TOTAL DE ALUNOS]]*100</f>
        <v>14.52513966480447</v>
      </c>
      <c r="L69" s="421">
        <f>Tabela3[[#This Row],[Básico]]*2</f>
        <v>29.050279329608941</v>
      </c>
      <c r="M69" s="421">
        <f>Tabela3[[#This Row],[TOTAL DE ALUNOS ADEQUADO]]/Tabela3[[#This Row],[TOTAL DE ALUNOS]]*100</f>
        <v>18.435754189944134</v>
      </c>
      <c r="N69" s="421">
        <f>Tabela3[[#This Row],[Adequado]]*3</f>
        <v>55.307262569832403</v>
      </c>
      <c r="O69" s="421">
        <f>Tabela3[[#This Row],[TOTAL DE ALUNOS AVANÇADO]]/Tabela3[[#This Row],[TOTAL DE ALUNOS]]*100</f>
        <v>25.139664804469277</v>
      </c>
      <c r="P69" s="422">
        <f>Tabela3[[#This Row],[Avançado]]*4</f>
        <v>100.55865921787711</v>
      </c>
      <c r="Q69" s="422">
        <f t="shared" ref="Q69:Q132" si="7">SUM(J69,L69,N69,P69)</f>
        <v>226.81564245810057</v>
      </c>
      <c r="R69" s="423">
        <f>Tabela3[[#This Row],[Participação]]*100</f>
        <v>95.72</v>
      </c>
      <c r="S69" s="422">
        <f t="shared" ref="S69:S132" si="8">IF(R69&gt;=$B$1,Q69,(R69*Q69)/100)</f>
        <v>226.81564245810057</v>
      </c>
      <c r="T69" s="421">
        <f>Tabela3[[#This Row],[Meta 2024]]*0.65</f>
        <v>139.620195</v>
      </c>
      <c r="U69" s="421">
        <v>214.80029999999999</v>
      </c>
      <c r="V69" s="422">
        <f t="shared" ref="V69:V132" si="9">1-((U69-S69)/(U69-T69))</f>
        <v>1.1598207725049143</v>
      </c>
      <c r="W69" s="424">
        <f t="shared" ref="W69:W132" si="10">IF(V69&lt;0,0,IF(V69&lt;=1,V69,1))</f>
        <v>1</v>
      </c>
    </row>
    <row r="70" spans="1:23">
      <c r="A70" s="418">
        <v>74</v>
      </c>
      <c r="B70" s="419" t="s">
        <v>191</v>
      </c>
      <c r="C70" s="418">
        <v>57</v>
      </c>
      <c r="D70" s="418">
        <v>27</v>
      </c>
      <c r="E70" s="418">
        <v>51</v>
      </c>
      <c r="F70" s="418">
        <v>61</v>
      </c>
      <c r="G70" s="418">
        <f t="shared" si="6"/>
        <v>196</v>
      </c>
      <c r="H70" s="420">
        <v>0.92889999999999995</v>
      </c>
      <c r="I70" s="421">
        <f>Tabela3[[#This Row],[TOTAL DE ALUNOS ABAIXO DO BÁSICO]]/Tabela3[[#This Row],[TOTAL DE ALUNOS]]*100</f>
        <v>29.081632653061224</v>
      </c>
      <c r="J70" s="421">
        <f>Tabela3[[#This Row],[Abaixo do Básico]]*1</f>
        <v>29.081632653061224</v>
      </c>
      <c r="K70" s="421">
        <f>Tabela3[[#This Row],[TOTAL DE ALUNOS NO BÁSICO]]/Tabela3[[#This Row],[TOTAL DE ALUNOS]]*100</f>
        <v>13.77551020408163</v>
      </c>
      <c r="L70" s="421">
        <f>Tabela3[[#This Row],[Básico]]*2</f>
        <v>27.551020408163261</v>
      </c>
      <c r="M70" s="421">
        <f>Tabela3[[#This Row],[TOTAL DE ALUNOS ADEQUADO]]/Tabela3[[#This Row],[TOTAL DE ALUNOS]]*100</f>
        <v>26.020408163265309</v>
      </c>
      <c r="N70" s="421">
        <f>Tabela3[[#This Row],[Adequado]]*3</f>
        <v>78.061224489795933</v>
      </c>
      <c r="O70" s="421">
        <f>Tabela3[[#This Row],[TOTAL DE ALUNOS AVANÇADO]]/Tabela3[[#This Row],[TOTAL DE ALUNOS]]*100</f>
        <v>31.122448979591837</v>
      </c>
      <c r="P70" s="422">
        <f>Tabela3[[#This Row],[Avançado]]*4</f>
        <v>124.48979591836735</v>
      </c>
      <c r="Q70" s="422">
        <f t="shared" si="7"/>
        <v>259.18367346938777</v>
      </c>
      <c r="R70" s="423">
        <f>Tabela3[[#This Row],[Participação]]*100</f>
        <v>92.89</v>
      </c>
      <c r="S70" s="422">
        <f t="shared" si="8"/>
        <v>259.18367346938777</v>
      </c>
      <c r="T70" s="421">
        <f>Tabela3[[#This Row],[Meta 2024]]*0.65</f>
        <v>169.58435</v>
      </c>
      <c r="U70" s="421">
        <v>260.899</v>
      </c>
      <c r="V70" s="422">
        <f t="shared" si="9"/>
        <v>0.98121520992948852</v>
      </c>
      <c r="W70" s="424">
        <f t="shared" si="10"/>
        <v>0.98121520992948852</v>
      </c>
    </row>
    <row r="71" spans="1:23">
      <c r="A71" s="418">
        <v>75</v>
      </c>
      <c r="B71" s="419" t="s">
        <v>4</v>
      </c>
      <c r="C71" s="418">
        <v>38</v>
      </c>
      <c r="D71" s="418">
        <v>13</v>
      </c>
      <c r="E71" s="418">
        <v>15</v>
      </c>
      <c r="F71" s="418">
        <v>6</v>
      </c>
      <c r="G71" s="418">
        <f t="shared" si="6"/>
        <v>72</v>
      </c>
      <c r="H71" s="420">
        <v>0.96</v>
      </c>
      <c r="I71" s="421">
        <f>Tabela3[[#This Row],[TOTAL DE ALUNOS ABAIXO DO BÁSICO]]/Tabela3[[#This Row],[TOTAL DE ALUNOS]]*100</f>
        <v>52.777777777777779</v>
      </c>
      <c r="J71" s="421">
        <f>Tabela3[[#This Row],[Abaixo do Básico]]*1</f>
        <v>52.777777777777779</v>
      </c>
      <c r="K71" s="421">
        <f>Tabela3[[#This Row],[TOTAL DE ALUNOS NO BÁSICO]]/Tabela3[[#This Row],[TOTAL DE ALUNOS]]*100</f>
        <v>18.055555555555554</v>
      </c>
      <c r="L71" s="421">
        <f>Tabela3[[#This Row],[Básico]]*2</f>
        <v>36.111111111111107</v>
      </c>
      <c r="M71" s="421">
        <f>Tabela3[[#This Row],[TOTAL DE ALUNOS ADEQUADO]]/Tabela3[[#This Row],[TOTAL DE ALUNOS]]*100</f>
        <v>20.833333333333336</v>
      </c>
      <c r="N71" s="421">
        <f>Tabela3[[#This Row],[Adequado]]*3</f>
        <v>62.500000000000007</v>
      </c>
      <c r="O71" s="421">
        <f>Tabela3[[#This Row],[TOTAL DE ALUNOS AVANÇADO]]/Tabela3[[#This Row],[TOTAL DE ALUNOS]]*100</f>
        <v>8.3333333333333321</v>
      </c>
      <c r="P71" s="422">
        <f>Tabela3[[#This Row],[Avançado]]*4</f>
        <v>33.333333333333329</v>
      </c>
      <c r="Q71" s="422">
        <f t="shared" si="7"/>
        <v>184.72222222222223</v>
      </c>
      <c r="R71" s="423">
        <f>Tabela3[[#This Row],[Participação]]*100</f>
        <v>96</v>
      </c>
      <c r="S71" s="422">
        <f t="shared" si="8"/>
        <v>184.72222222222223</v>
      </c>
      <c r="T71" s="421">
        <f>Tabela3[[#This Row],[Meta 2024]]*0.65</f>
        <v>115.07957500000001</v>
      </c>
      <c r="U71" s="421">
        <v>177.0455</v>
      </c>
      <c r="V71" s="422">
        <f t="shared" si="9"/>
        <v>1.1238861878076092</v>
      </c>
      <c r="W71" s="424">
        <f t="shared" si="10"/>
        <v>1</v>
      </c>
    </row>
    <row r="72" spans="1:23">
      <c r="A72" s="418">
        <v>76</v>
      </c>
      <c r="B72" s="419" t="s">
        <v>128</v>
      </c>
      <c r="C72" s="418">
        <v>68</v>
      </c>
      <c r="D72" s="418">
        <v>37</v>
      </c>
      <c r="E72" s="418">
        <v>59</v>
      </c>
      <c r="F72" s="418">
        <v>54</v>
      </c>
      <c r="G72" s="418">
        <f t="shared" si="6"/>
        <v>218</v>
      </c>
      <c r="H72" s="420">
        <v>0.92769999999999997</v>
      </c>
      <c r="I72" s="421">
        <f>Tabela3[[#This Row],[TOTAL DE ALUNOS ABAIXO DO BÁSICO]]/Tabela3[[#This Row],[TOTAL DE ALUNOS]]*100</f>
        <v>31.192660550458719</v>
      </c>
      <c r="J72" s="421">
        <f>Tabela3[[#This Row],[Abaixo do Básico]]*1</f>
        <v>31.192660550458719</v>
      </c>
      <c r="K72" s="421">
        <f>Tabela3[[#This Row],[TOTAL DE ALUNOS NO BÁSICO]]/Tabela3[[#This Row],[TOTAL DE ALUNOS]]*100</f>
        <v>16.972477064220186</v>
      </c>
      <c r="L72" s="421">
        <f>Tabela3[[#This Row],[Básico]]*2</f>
        <v>33.944954128440372</v>
      </c>
      <c r="M72" s="421">
        <f>Tabela3[[#This Row],[TOTAL DE ALUNOS ADEQUADO]]/Tabela3[[#This Row],[TOTAL DE ALUNOS]]*100</f>
        <v>27.064220183486238</v>
      </c>
      <c r="N72" s="421">
        <f>Tabela3[[#This Row],[Adequado]]*3</f>
        <v>81.192660550458712</v>
      </c>
      <c r="O72" s="421">
        <f>Tabela3[[#This Row],[TOTAL DE ALUNOS AVANÇADO]]/Tabela3[[#This Row],[TOTAL DE ALUNOS]]*100</f>
        <v>24.770642201834864</v>
      </c>
      <c r="P72" s="422">
        <f>Tabela3[[#This Row],[Avançado]]*4</f>
        <v>99.082568807339456</v>
      </c>
      <c r="Q72" s="422">
        <f t="shared" si="7"/>
        <v>245.41284403669727</v>
      </c>
      <c r="R72" s="423">
        <f>Tabela3[[#This Row],[Participação]]*100</f>
        <v>92.77</v>
      </c>
      <c r="S72" s="422">
        <f t="shared" si="8"/>
        <v>245.41284403669727</v>
      </c>
      <c r="T72" s="421">
        <f>Tabela3[[#This Row],[Meta 2024]]*0.65</f>
        <v>142.87559000000002</v>
      </c>
      <c r="U72" s="421">
        <v>219.80860000000001</v>
      </c>
      <c r="V72" s="422">
        <f t="shared" si="9"/>
        <v>1.3328121964381383</v>
      </c>
      <c r="W72" s="424">
        <f t="shared" si="10"/>
        <v>1</v>
      </c>
    </row>
    <row r="73" spans="1:23">
      <c r="A73" s="418">
        <v>77</v>
      </c>
      <c r="B73" s="419" t="s">
        <v>138</v>
      </c>
      <c r="C73" s="418">
        <v>67</v>
      </c>
      <c r="D73" s="418">
        <v>28</v>
      </c>
      <c r="E73" s="418">
        <v>30</v>
      </c>
      <c r="F73" s="418">
        <v>40</v>
      </c>
      <c r="G73" s="418">
        <f t="shared" si="6"/>
        <v>165</v>
      </c>
      <c r="H73" s="420">
        <v>0.72370000000000001</v>
      </c>
      <c r="I73" s="421">
        <f>Tabela3[[#This Row],[TOTAL DE ALUNOS ABAIXO DO BÁSICO]]/Tabela3[[#This Row],[TOTAL DE ALUNOS]]*100</f>
        <v>40.606060606060609</v>
      </c>
      <c r="J73" s="421">
        <f>Tabela3[[#This Row],[Abaixo do Básico]]*1</f>
        <v>40.606060606060609</v>
      </c>
      <c r="K73" s="421">
        <f>Tabela3[[#This Row],[TOTAL DE ALUNOS NO BÁSICO]]/Tabela3[[#This Row],[TOTAL DE ALUNOS]]*100</f>
        <v>16.969696969696972</v>
      </c>
      <c r="L73" s="421">
        <f>Tabela3[[#This Row],[Básico]]*2</f>
        <v>33.939393939393945</v>
      </c>
      <c r="M73" s="421">
        <f>Tabela3[[#This Row],[TOTAL DE ALUNOS ADEQUADO]]/Tabela3[[#This Row],[TOTAL DE ALUNOS]]*100</f>
        <v>18.181818181818183</v>
      </c>
      <c r="N73" s="421">
        <f>Tabela3[[#This Row],[Adequado]]*3</f>
        <v>54.545454545454547</v>
      </c>
      <c r="O73" s="421">
        <f>Tabela3[[#This Row],[TOTAL DE ALUNOS AVANÇADO]]/Tabela3[[#This Row],[TOTAL DE ALUNOS]]*100</f>
        <v>24.242424242424242</v>
      </c>
      <c r="P73" s="422">
        <f>Tabela3[[#This Row],[Avançado]]*4</f>
        <v>96.969696969696969</v>
      </c>
      <c r="Q73" s="422">
        <f t="shared" si="7"/>
        <v>226.06060606060609</v>
      </c>
      <c r="R73" s="423">
        <f>Tabela3[[#This Row],[Participação]]*100</f>
        <v>72.37</v>
      </c>
      <c r="S73" s="422">
        <f t="shared" si="8"/>
        <v>226.06060606060609</v>
      </c>
      <c r="T73" s="421">
        <f>Tabela3[[#This Row],[Meta 2024]]*0.65</f>
        <v>132.50874000000002</v>
      </c>
      <c r="U73" s="421">
        <v>203.8596</v>
      </c>
      <c r="V73" s="422">
        <f t="shared" si="9"/>
        <v>1.3111526064381858</v>
      </c>
      <c r="W73" s="424">
        <f t="shared" si="10"/>
        <v>1</v>
      </c>
    </row>
    <row r="74" spans="1:23">
      <c r="A74" s="418">
        <v>78</v>
      </c>
      <c r="B74" s="419" t="s">
        <v>202</v>
      </c>
      <c r="C74" s="418">
        <v>53</v>
      </c>
      <c r="D74" s="418">
        <v>31</v>
      </c>
      <c r="E74" s="418">
        <v>52</v>
      </c>
      <c r="F74" s="418">
        <v>70</v>
      </c>
      <c r="G74" s="418">
        <f t="shared" si="6"/>
        <v>206</v>
      </c>
      <c r="H74" s="420">
        <v>0.91959999999999997</v>
      </c>
      <c r="I74" s="421">
        <f>Tabela3[[#This Row],[TOTAL DE ALUNOS ABAIXO DO BÁSICO]]/Tabela3[[#This Row],[TOTAL DE ALUNOS]]*100</f>
        <v>25.728155339805824</v>
      </c>
      <c r="J74" s="421">
        <f>Tabela3[[#This Row],[Abaixo do Básico]]*1</f>
        <v>25.728155339805824</v>
      </c>
      <c r="K74" s="421">
        <f>Tabela3[[#This Row],[TOTAL DE ALUNOS NO BÁSICO]]/Tabela3[[#This Row],[TOTAL DE ALUNOS]]*100</f>
        <v>15.048543689320388</v>
      </c>
      <c r="L74" s="421">
        <f>Tabela3[[#This Row],[Básico]]*2</f>
        <v>30.097087378640776</v>
      </c>
      <c r="M74" s="421">
        <f>Tabela3[[#This Row],[TOTAL DE ALUNOS ADEQUADO]]/Tabela3[[#This Row],[TOTAL DE ALUNOS]]*100</f>
        <v>25.242718446601941</v>
      </c>
      <c r="N74" s="421">
        <f>Tabela3[[#This Row],[Adequado]]*3</f>
        <v>75.728155339805824</v>
      </c>
      <c r="O74" s="421">
        <f>Tabela3[[#This Row],[TOTAL DE ALUNOS AVANÇADO]]/Tabela3[[#This Row],[TOTAL DE ALUNOS]]*100</f>
        <v>33.980582524271846</v>
      </c>
      <c r="P74" s="422">
        <f>Tabela3[[#This Row],[Avançado]]*4</f>
        <v>135.92233009708738</v>
      </c>
      <c r="Q74" s="422">
        <f t="shared" si="7"/>
        <v>267.47572815533977</v>
      </c>
      <c r="R74" s="423">
        <f>Tabela3[[#This Row],[Participação]]*100</f>
        <v>91.96</v>
      </c>
      <c r="S74" s="422">
        <f t="shared" si="8"/>
        <v>267.47572815533977</v>
      </c>
      <c r="T74" s="421">
        <f>Tabela3[[#This Row],[Meta 2024]]*0.65</f>
        <v>168.82359</v>
      </c>
      <c r="U74" s="421">
        <v>259.72859999999997</v>
      </c>
      <c r="V74" s="422">
        <f t="shared" si="9"/>
        <v>1.0852222353348819</v>
      </c>
      <c r="W74" s="424">
        <f t="shared" si="10"/>
        <v>1</v>
      </c>
    </row>
    <row r="75" spans="1:23">
      <c r="A75" s="418">
        <v>79</v>
      </c>
      <c r="B75" s="419" t="s">
        <v>124</v>
      </c>
      <c r="C75" s="418">
        <v>61</v>
      </c>
      <c r="D75" s="418">
        <v>14</v>
      </c>
      <c r="E75" s="418">
        <v>20</v>
      </c>
      <c r="F75" s="418">
        <v>4</v>
      </c>
      <c r="G75" s="418">
        <f t="shared" si="6"/>
        <v>99</v>
      </c>
      <c r="H75" s="420">
        <v>0.86839999999999995</v>
      </c>
      <c r="I75" s="421">
        <f>Tabela3[[#This Row],[TOTAL DE ALUNOS ABAIXO DO BÁSICO]]/Tabela3[[#This Row],[TOTAL DE ALUNOS]]*100</f>
        <v>61.616161616161612</v>
      </c>
      <c r="J75" s="421">
        <f>Tabela3[[#This Row],[Abaixo do Básico]]*1</f>
        <v>61.616161616161612</v>
      </c>
      <c r="K75" s="421">
        <f>Tabela3[[#This Row],[TOTAL DE ALUNOS NO BÁSICO]]/Tabela3[[#This Row],[TOTAL DE ALUNOS]]*100</f>
        <v>14.14141414141414</v>
      </c>
      <c r="L75" s="421">
        <f>Tabela3[[#This Row],[Básico]]*2</f>
        <v>28.28282828282828</v>
      </c>
      <c r="M75" s="421">
        <f>Tabela3[[#This Row],[TOTAL DE ALUNOS ADEQUADO]]/Tabela3[[#This Row],[TOTAL DE ALUNOS]]*100</f>
        <v>20.202020202020201</v>
      </c>
      <c r="N75" s="421">
        <f>Tabela3[[#This Row],[Adequado]]*3</f>
        <v>60.606060606060602</v>
      </c>
      <c r="O75" s="421">
        <f>Tabela3[[#This Row],[TOTAL DE ALUNOS AVANÇADO]]/Tabela3[[#This Row],[TOTAL DE ALUNOS]]*100</f>
        <v>4.0404040404040407</v>
      </c>
      <c r="P75" s="422">
        <f>Tabela3[[#This Row],[Avançado]]*4</f>
        <v>16.161616161616163</v>
      </c>
      <c r="Q75" s="422">
        <f t="shared" si="7"/>
        <v>166.66666666666666</v>
      </c>
      <c r="R75" s="423">
        <f>Tabela3[[#This Row],[Participação]]*100</f>
        <v>86.839999999999989</v>
      </c>
      <c r="S75" s="422">
        <f t="shared" si="8"/>
        <v>166.66666666666666</v>
      </c>
      <c r="T75" s="421">
        <f>Tabela3[[#This Row],[Meta 2024]]*0.65</f>
        <v>103.31288500000001</v>
      </c>
      <c r="U75" s="421">
        <v>158.94290000000001</v>
      </c>
      <c r="V75" s="422">
        <f t="shared" si="9"/>
        <v>1.1388417146151524</v>
      </c>
      <c r="W75" s="424">
        <f t="shared" si="10"/>
        <v>1</v>
      </c>
    </row>
    <row r="76" spans="1:23">
      <c r="A76" s="418">
        <v>80</v>
      </c>
      <c r="B76" s="419" t="s">
        <v>217</v>
      </c>
      <c r="C76" s="418">
        <v>34</v>
      </c>
      <c r="D76" s="418">
        <v>4</v>
      </c>
      <c r="E76" s="418">
        <v>11</v>
      </c>
      <c r="F76" s="418">
        <v>5</v>
      </c>
      <c r="G76" s="418">
        <f t="shared" si="6"/>
        <v>54</v>
      </c>
      <c r="H76" s="420">
        <v>0.93100000000000005</v>
      </c>
      <c r="I76" s="421">
        <f>Tabela3[[#This Row],[TOTAL DE ALUNOS ABAIXO DO BÁSICO]]/Tabela3[[#This Row],[TOTAL DE ALUNOS]]*100</f>
        <v>62.962962962962962</v>
      </c>
      <c r="J76" s="421">
        <f>Tabela3[[#This Row],[Abaixo do Básico]]*1</f>
        <v>62.962962962962962</v>
      </c>
      <c r="K76" s="421">
        <f>Tabela3[[#This Row],[TOTAL DE ALUNOS NO BÁSICO]]/Tabela3[[#This Row],[TOTAL DE ALUNOS]]*100</f>
        <v>7.4074074074074066</v>
      </c>
      <c r="L76" s="421">
        <f>Tabela3[[#This Row],[Básico]]*2</f>
        <v>14.814814814814813</v>
      </c>
      <c r="M76" s="421">
        <f>Tabela3[[#This Row],[TOTAL DE ALUNOS ADEQUADO]]/Tabela3[[#This Row],[TOTAL DE ALUNOS]]*100</f>
        <v>20.37037037037037</v>
      </c>
      <c r="N76" s="421">
        <f>Tabela3[[#This Row],[Adequado]]*3</f>
        <v>61.111111111111114</v>
      </c>
      <c r="O76" s="421">
        <f>Tabela3[[#This Row],[TOTAL DE ALUNOS AVANÇADO]]/Tabela3[[#This Row],[TOTAL DE ALUNOS]]*100</f>
        <v>9.2592592592592595</v>
      </c>
      <c r="P76" s="422">
        <f>Tabela3[[#This Row],[Avançado]]*4</f>
        <v>37.037037037037038</v>
      </c>
      <c r="Q76" s="422">
        <f t="shared" si="7"/>
        <v>175.92592592592592</v>
      </c>
      <c r="R76" s="423">
        <f>Tabela3[[#This Row],[Participação]]*100</f>
        <v>93.100000000000009</v>
      </c>
      <c r="S76" s="422">
        <f t="shared" si="8"/>
        <v>175.92592592592592</v>
      </c>
      <c r="T76" s="421">
        <f>Tabela3[[#This Row],[Meta 2024]]*0.65</f>
        <v>138.27274500000001</v>
      </c>
      <c r="U76" s="421">
        <v>212.72730000000001</v>
      </c>
      <c r="V76" s="422">
        <f t="shared" si="9"/>
        <v>0.50572031390055194</v>
      </c>
      <c r="W76" s="424">
        <f t="shared" si="10"/>
        <v>0.50572031390055194</v>
      </c>
    </row>
    <row r="77" spans="1:23">
      <c r="A77" s="418">
        <v>81</v>
      </c>
      <c r="B77" s="419" t="s">
        <v>123</v>
      </c>
      <c r="C77" s="418">
        <v>42</v>
      </c>
      <c r="D77" s="418">
        <v>15</v>
      </c>
      <c r="E77" s="418">
        <v>7</v>
      </c>
      <c r="F77" s="418">
        <v>11</v>
      </c>
      <c r="G77" s="418">
        <f t="shared" si="6"/>
        <v>75</v>
      </c>
      <c r="H77" s="420">
        <v>0.72119999999999995</v>
      </c>
      <c r="I77" s="421">
        <f>Tabela3[[#This Row],[TOTAL DE ALUNOS ABAIXO DO BÁSICO]]/Tabela3[[#This Row],[TOTAL DE ALUNOS]]*100</f>
        <v>56.000000000000007</v>
      </c>
      <c r="J77" s="421">
        <f>Tabela3[[#This Row],[Abaixo do Básico]]*1</f>
        <v>56.000000000000007</v>
      </c>
      <c r="K77" s="421">
        <f>Tabela3[[#This Row],[TOTAL DE ALUNOS NO BÁSICO]]/Tabela3[[#This Row],[TOTAL DE ALUNOS]]*100</f>
        <v>20</v>
      </c>
      <c r="L77" s="421">
        <f>Tabela3[[#This Row],[Básico]]*2</f>
        <v>40</v>
      </c>
      <c r="M77" s="421">
        <f>Tabela3[[#This Row],[TOTAL DE ALUNOS ADEQUADO]]/Tabela3[[#This Row],[TOTAL DE ALUNOS]]*100</f>
        <v>9.3333333333333339</v>
      </c>
      <c r="N77" s="421">
        <f>Tabela3[[#This Row],[Adequado]]*3</f>
        <v>28</v>
      </c>
      <c r="O77" s="421">
        <f>Tabela3[[#This Row],[TOTAL DE ALUNOS AVANÇADO]]/Tabela3[[#This Row],[TOTAL DE ALUNOS]]*100</f>
        <v>14.666666666666666</v>
      </c>
      <c r="P77" s="422">
        <f>Tabela3[[#This Row],[Avançado]]*4</f>
        <v>58.666666666666664</v>
      </c>
      <c r="Q77" s="422">
        <f t="shared" si="7"/>
        <v>182.66666666666666</v>
      </c>
      <c r="R77" s="423">
        <f>Tabela3[[#This Row],[Participação]]*100</f>
        <v>72.11999999999999</v>
      </c>
      <c r="S77" s="422">
        <f t="shared" si="8"/>
        <v>182.66666666666666</v>
      </c>
      <c r="T77" s="421">
        <f>Tabela3[[#This Row],[Meta 2024]]*0.65</f>
        <v>117.70668000000001</v>
      </c>
      <c r="U77" s="421">
        <v>181.0872</v>
      </c>
      <c r="V77" s="422">
        <f t="shared" si="9"/>
        <v>1.0249203803734437</v>
      </c>
      <c r="W77" s="424">
        <f t="shared" si="10"/>
        <v>1</v>
      </c>
    </row>
    <row r="78" spans="1:23">
      <c r="A78" s="418">
        <v>82</v>
      </c>
      <c r="B78" s="419" t="s">
        <v>179</v>
      </c>
      <c r="C78" s="418">
        <v>38</v>
      </c>
      <c r="D78" s="418">
        <v>13</v>
      </c>
      <c r="E78" s="418">
        <v>23</v>
      </c>
      <c r="F78" s="418">
        <v>24</v>
      </c>
      <c r="G78" s="418">
        <f t="shared" si="6"/>
        <v>98</v>
      </c>
      <c r="H78" s="420">
        <v>0.875</v>
      </c>
      <c r="I78" s="421">
        <f>Tabela3[[#This Row],[TOTAL DE ALUNOS ABAIXO DO BÁSICO]]/Tabela3[[#This Row],[TOTAL DE ALUNOS]]*100</f>
        <v>38.775510204081634</v>
      </c>
      <c r="J78" s="421">
        <f>Tabela3[[#This Row],[Abaixo do Básico]]*1</f>
        <v>38.775510204081634</v>
      </c>
      <c r="K78" s="421">
        <f>Tabela3[[#This Row],[TOTAL DE ALUNOS NO BÁSICO]]/Tabela3[[#This Row],[TOTAL DE ALUNOS]]*100</f>
        <v>13.26530612244898</v>
      </c>
      <c r="L78" s="421">
        <f>Tabela3[[#This Row],[Básico]]*2</f>
        <v>26.530612244897959</v>
      </c>
      <c r="M78" s="421">
        <f>Tabela3[[#This Row],[TOTAL DE ALUNOS ADEQUADO]]/Tabela3[[#This Row],[TOTAL DE ALUNOS]]*100</f>
        <v>23.469387755102041</v>
      </c>
      <c r="N78" s="421">
        <f>Tabela3[[#This Row],[Adequado]]*3</f>
        <v>70.408163265306115</v>
      </c>
      <c r="O78" s="421">
        <f>Tabela3[[#This Row],[TOTAL DE ALUNOS AVANÇADO]]/Tabela3[[#This Row],[TOTAL DE ALUNOS]]*100</f>
        <v>24.489795918367346</v>
      </c>
      <c r="P78" s="422">
        <f>Tabela3[[#This Row],[Avançado]]*4</f>
        <v>97.959183673469383</v>
      </c>
      <c r="Q78" s="422">
        <f t="shared" si="7"/>
        <v>233.67346938775512</v>
      </c>
      <c r="R78" s="423">
        <f>Tabela3[[#This Row],[Participação]]*100</f>
        <v>87.5</v>
      </c>
      <c r="S78" s="422">
        <f t="shared" si="8"/>
        <v>233.67346938775512</v>
      </c>
      <c r="T78" s="421">
        <f>Tabela3[[#This Row],[Meta 2024]]*0.65</f>
        <v>144.63156499999999</v>
      </c>
      <c r="U78" s="421">
        <v>222.51009999999999</v>
      </c>
      <c r="V78" s="422">
        <f t="shared" si="9"/>
        <v>1.1433433408545131</v>
      </c>
      <c r="W78" s="424">
        <f t="shared" si="10"/>
        <v>1</v>
      </c>
    </row>
    <row r="79" spans="1:23">
      <c r="A79" s="418">
        <v>83</v>
      </c>
      <c r="B79" s="419" t="s">
        <v>65</v>
      </c>
      <c r="C79" s="418">
        <v>17</v>
      </c>
      <c r="D79" s="418">
        <v>8</v>
      </c>
      <c r="E79" s="418">
        <v>3</v>
      </c>
      <c r="F79" s="418">
        <v>3</v>
      </c>
      <c r="G79" s="418">
        <f t="shared" si="6"/>
        <v>31</v>
      </c>
      <c r="H79" s="420">
        <v>0.88570000000000004</v>
      </c>
      <c r="I79" s="421">
        <f>Tabela3[[#This Row],[TOTAL DE ALUNOS ABAIXO DO BÁSICO]]/Tabela3[[#This Row],[TOTAL DE ALUNOS]]*100</f>
        <v>54.838709677419352</v>
      </c>
      <c r="J79" s="421">
        <f>Tabela3[[#This Row],[Abaixo do Básico]]*1</f>
        <v>54.838709677419352</v>
      </c>
      <c r="K79" s="421">
        <f>Tabela3[[#This Row],[TOTAL DE ALUNOS NO BÁSICO]]/Tabela3[[#This Row],[TOTAL DE ALUNOS]]*100</f>
        <v>25.806451612903224</v>
      </c>
      <c r="L79" s="421">
        <f>Tabela3[[#This Row],[Básico]]*2</f>
        <v>51.612903225806448</v>
      </c>
      <c r="M79" s="421">
        <f>Tabela3[[#This Row],[TOTAL DE ALUNOS ADEQUADO]]/Tabela3[[#This Row],[TOTAL DE ALUNOS]]*100</f>
        <v>9.67741935483871</v>
      </c>
      <c r="N79" s="421">
        <f>Tabela3[[#This Row],[Adequado]]*3</f>
        <v>29.032258064516128</v>
      </c>
      <c r="O79" s="421">
        <f>Tabela3[[#This Row],[TOTAL DE ALUNOS AVANÇADO]]/Tabela3[[#This Row],[TOTAL DE ALUNOS]]*100</f>
        <v>9.67741935483871</v>
      </c>
      <c r="P79" s="422">
        <f>Tabela3[[#This Row],[Avançado]]*4</f>
        <v>38.70967741935484</v>
      </c>
      <c r="Q79" s="422">
        <f t="shared" si="7"/>
        <v>174.19354838709677</v>
      </c>
      <c r="R79" s="423">
        <f>Tabela3[[#This Row],[Participação]]*100</f>
        <v>88.570000000000007</v>
      </c>
      <c r="S79" s="422">
        <f t="shared" si="8"/>
        <v>174.19354838709677</v>
      </c>
      <c r="T79" s="421">
        <f>Tabela3[[#This Row],[Meta 2024]]*0.65</f>
        <v>119.90907500000002</v>
      </c>
      <c r="U79" s="421">
        <v>184.47550000000001</v>
      </c>
      <c r="V79" s="422">
        <f t="shared" si="9"/>
        <v>0.8407538962718899</v>
      </c>
      <c r="W79" s="424">
        <f t="shared" si="10"/>
        <v>0.8407538962718899</v>
      </c>
    </row>
    <row r="80" spans="1:23">
      <c r="A80" s="418">
        <v>84</v>
      </c>
      <c r="B80" s="419" t="s">
        <v>125</v>
      </c>
      <c r="C80" s="418">
        <v>49</v>
      </c>
      <c r="D80" s="418">
        <v>12</v>
      </c>
      <c r="E80" s="418">
        <v>26</v>
      </c>
      <c r="F80" s="418">
        <v>28</v>
      </c>
      <c r="G80" s="418">
        <f t="shared" si="6"/>
        <v>115</v>
      </c>
      <c r="H80" s="420">
        <v>0.90549999999999997</v>
      </c>
      <c r="I80" s="421">
        <f>Tabela3[[#This Row],[TOTAL DE ALUNOS ABAIXO DO BÁSICO]]/Tabela3[[#This Row],[TOTAL DE ALUNOS]]*100</f>
        <v>42.608695652173914</v>
      </c>
      <c r="J80" s="421">
        <f>Tabela3[[#This Row],[Abaixo do Básico]]*1</f>
        <v>42.608695652173914</v>
      </c>
      <c r="K80" s="421">
        <f>Tabela3[[#This Row],[TOTAL DE ALUNOS NO BÁSICO]]/Tabela3[[#This Row],[TOTAL DE ALUNOS]]*100</f>
        <v>10.434782608695652</v>
      </c>
      <c r="L80" s="421">
        <f>Tabela3[[#This Row],[Básico]]*2</f>
        <v>20.869565217391305</v>
      </c>
      <c r="M80" s="421">
        <f>Tabela3[[#This Row],[TOTAL DE ALUNOS ADEQUADO]]/Tabela3[[#This Row],[TOTAL DE ALUNOS]]*100</f>
        <v>22.608695652173914</v>
      </c>
      <c r="N80" s="421">
        <f>Tabela3[[#This Row],[Adequado]]*3</f>
        <v>67.826086956521749</v>
      </c>
      <c r="O80" s="421">
        <f>Tabela3[[#This Row],[TOTAL DE ALUNOS AVANÇADO]]/Tabela3[[#This Row],[TOTAL DE ALUNOS]]*100</f>
        <v>24.347826086956523</v>
      </c>
      <c r="P80" s="422">
        <f>Tabela3[[#This Row],[Avançado]]*4</f>
        <v>97.391304347826093</v>
      </c>
      <c r="Q80" s="422">
        <f t="shared" si="7"/>
        <v>228.69565217391306</v>
      </c>
      <c r="R80" s="423">
        <f>Tabela3[[#This Row],[Participação]]*100</f>
        <v>90.55</v>
      </c>
      <c r="S80" s="422">
        <f t="shared" si="8"/>
        <v>228.69565217391306</v>
      </c>
      <c r="T80" s="421">
        <f>Tabela3[[#This Row],[Meta 2024]]*0.65</f>
        <v>147.03357500000001</v>
      </c>
      <c r="U80" s="421">
        <v>226.2055</v>
      </c>
      <c r="V80" s="422">
        <f t="shared" si="9"/>
        <v>1.0314524646699328</v>
      </c>
      <c r="W80" s="424">
        <f t="shared" si="10"/>
        <v>1</v>
      </c>
    </row>
    <row r="81" spans="1:23">
      <c r="A81" s="418">
        <v>85</v>
      </c>
      <c r="B81" s="419" t="s">
        <v>157</v>
      </c>
      <c r="C81" s="418">
        <v>39</v>
      </c>
      <c r="D81" s="418">
        <v>17</v>
      </c>
      <c r="E81" s="418">
        <v>34</v>
      </c>
      <c r="F81" s="418">
        <v>34</v>
      </c>
      <c r="G81" s="418">
        <f t="shared" si="6"/>
        <v>124</v>
      </c>
      <c r="H81" s="420">
        <v>0.90510000000000002</v>
      </c>
      <c r="I81" s="421">
        <f>Tabela3[[#This Row],[TOTAL DE ALUNOS ABAIXO DO BÁSICO]]/Tabela3[[#This Row],[TOTAL DE ALUNOS]]*100</f>
        <v>31.451612903225808</v>
      </c>
      <c r="J81" s="421">
        <f>Tabela3[[#This Row],[Abaixo do Básico]]*1</f>
        <v>31.451612903225808</v>
      </c>
      <c r="K81" s="421">
        <f>Tabela3[[#This Row],[TOTAL DE ALUNOS NO BÁSICO]]/Tabela3[[#This Row],[TOTAL DE ALUNOS]]*100</f>
        <v>13.709677419354838</v>
      </c>
      <c r="L81" s="421">
        <f>Tabela3[[#This Row],[Básico]]*2</f>
        <v>27.419354838709676</v>
      </c>
      <c r="M81" s="421">
        <f>Tabela3[[#This Row],[TOTAL DE ALUNOS ADEQUADO]]/Tabela3[[#This Row],[TOTAL DE ALUNOS]]*100</f>
        <v>27.419354838709676</v>
      </c>
      <c r="N81" s="421">
        <f>Tabela3[[#This Row],[Adequado]]*3</f>
        <v>82.258064516129025</v>
      </c>
      <c r="O81" s="421">
        <f>Tabela3[[#This Row],[TOTAL DE ALUNOS AVANÇADO]]/Tabela3[[#This Row],[TOTAL DE ALUNOS]]*100</f>
        <v>27.419354838709676</v>
      </c>
      <c r="P81" s="422">
        <f>Tabela3[[#This Row],[Avançado]]*4</f>
        <v>109.6774193548387</v>
      </c>
      <c r="Q81" s="422">
        <f t="shared" si="7"/>
        <v>250.80645161290323</v>
      </c>
      <c r="R81" s="423">
        <f>Tabela3[[#This Row],[Participação]]*100</f>
        <v>90.51</v>
      </c>
      <c r="S81" s="422">
        <f t="shared" si="8"/>
        <v>250.80645161290323</v>
      </c>
      <c r="T81" s="421">
        <f>Tabela3[[#This Row],[Meta 2024]]*0.65</f>
        <v>175.92224000000002</v>
      </c>
      <c r="U81" s="421">
        <v>270.64960000000002</v>
      </c>
      <c r="V81" s="422">
        <f t="shared" si="9"/>
        <v>0.79052357854059496</v>
      </c>
      <c r="W81" s="424">
        <f t="shared" si="10"/>
        <v>0.79052357854059496</v>
      </c>
    </row>
    <row r="82" spans="1:23">
      <c r="A82" s="418">
        <v>86</v>
      </c>
      <c r="B82" s="419" t="s">
        <v>185</v>
      </c>
      <c r="C82" s="418">
        <v>63</v>
      </c>
      <c r="D82" s="418">
        <v>30</v>
      </c>
      <c r="E82" s="418">
        <v>45</v>
      </c>
      <c r="F82" s="418">
        <v>31</v>
      </c>
      <c r="G82" s="418">
        <f t="shared" si="6"/>
        <v>169</v>
      </c>
      <c r="H82" s="420">
        <v>0.94940000000000002</v>
      </c>
      <c r="I82" s="421">
        <f>Tabela3[[#This Row],[TOTAL DE ALUNOS ABAIXO DO BÁSICO]]/Tabela3[[#This Row],[TOTAL DE ALUNOS]]*100</f>
        <v>37.278106508875744</v>
      </c>
      <c r="J82" s="421">
        <f>Tabela3[[#This Row],[Abaixo do Básico]]*1</f>
        <v>37.278106508875744</v>
      </c>
      <c r="K82" s="421">
        <f>Tabela3[[#This Row],[TOTAL DE ALUNOS NO BÁSICO]]/Tabela3[[#This Row],[TOTAL DE ALUNOS]]*100</f>
        <v>17.751479289940828</v>
      </c>
      <c r="L82" s="421">
        <f>Tabela3[[#This Row],[Básico]]*2</f>
        <v>35.502958579881657</v>
      </c>
      <c r="M82" s="421">
        <f>Tabela3[[#This Row],[TOTAL DE ALUNOS ADEQUADO]]/Tabela3[[#This Row],[TOTAL DE ALUNOS]]*100</f>
        <v>26.627218934911244</v>
      </c>
      <c r="N82" s="421">
        <f>Tabela3[[#This Row],[Adequado]]*3</f>
        <v>79.881656804733737</v>
      </c>
      <c r="O82" s="421">
        <f>Tabela3[[#This Row],[TOTAL DE ALUNOS AVANÇADO]]/Tabela3[[#This Row],[TOTAL DE ALUNOS]]*100</f>
        <v>18.34319526627219</v>
      </c>
      <c r="P82" s="422">
        <f>Tabela3[[#This Row],[Avançado]]*4</f>
        <v>73.372781065088759</v>
      </c>
      <c r="Q82" s="422">
        <f t="shared" si="7"/>
        <v>226.03550295857991</v>
      </c>
      <c r="R82" s="423">
        <f>Tabela3[[#This Row],[Participação]]*100</f>
        <v>94.94</v>
      </c>
      <c r="S82" s="422">
        <f t="shared" si="8"/>
        <v>226.03550295857991</v>
      </c>
      <c r="T82" s="421">
        <f>Tabela3[[#This Row],[Meta 2024]]*0.65</f>
        <v>130.0949</v>
      </c>
      <c r="U82" s="421">
        <v>200.14599999999999</v>
      </c>
      <c r="V82" s="422">
        <f t="shared" si="9"/>
        <v>1.3695802486838884</v>
      </c>
      <c r="W82" s="424">
        <f t="shared" si="10"/>
        <v>1</v>
      </c>
    </row>
    <row r="83" spans="1:23">
      <c r="A83" s="418">
        <v>87</v>
      </c>
      <c r="B83" s="419" t="s">
        <v>35</v>
      </c>
      <c r="C83" s="418">
        <v>32</v>
      </c>
      <c r="D83" s="418">
        <v>5</v>
      </c>
      <c r="E83" s="418">
        <v>15</v>
      </c>
      <c r="F83" s="418">
        <v>4</v>
      </c>
      <c r="G83" s="418">
        <f t="shared" si="6"/>
        <v>56</v>
      </c>
      <c r="H83" s="420">
        <v>0.86150000000000004</v>
      </c>
      <c r="I83" s="421">
        <f>Tabela3[[#This Row],[TOTAL DE ALUNOS ABAIXO DO BÁSICO]]/Tabela3[[#This Row],[TOTAL DE ALUNOS]]*100</f>
        <v>57.142857142857139</v>
      </c>
      <c r="J83" s="421">
        <f>Tabela3[[#This Row],[Abaixo do Básico]]*1</f>
        <v>57.142857142857139</v>
      </c>
      <c r="K83" s="421">
        <f>Tabela3[[#This Row],[TOTAL DE ALUNOS NO BÁSICO]]/Tabela3[[#This Row],[TOTAL DE ALUNOS]]*100</f>
        <v>8.9285714285714288</v>
      </c>
      <c r="L83" s="421">
        <f>Tabela3[[#This Row],[Básico]]*2</f>
        <v>17.857142857142858</v>
      </c>
      <c r="M83" s="421">
        <f>Tabela3[[#This Row],[TOTAL DE ALUNOS ADEQUADO]]/Tabela3[[#This Row],[TOTAL DE ALUNOS]]*100</f>
        <v>26.785714285714285</v>
      </c>
      <c r="N83" s="421">
        <f>Tabela3[[#This Row],[Adequado]]*3</f>
        <v>80.357142857142861</v>
      </c>
      <c r="O83" s="421">
        <f>Tabela3[[#This Row],[TOTAL DE ALUNOS AVANÇADO]]/Tabela3[[#This Row],[TOTAL DE ALUNOS]]*100</f>
        <v>7.1428571428571423</v>
      </c>
      <c r="P83" s="422">
        <f>Tabela3[[#This Row],[Avançado]]*4</f>
        <v>28.571428571428569</v>
      </c>
      <c r="Q83" s="422">
        <f t="shared" si="7"/>
        <v>183.92857142857144</v>
      </c>
      <c r="R83" s="423">
        <f>Tabela3[[#This Row],[Participação]]*100</f>
        <v>86.15</v>
      </c>
      <c r="S83" s="422">
        <f t="shared" si="8"/>
        <v>183.92857142857144</v>
      </c>
      <c r="T83" s="421">
        <f>Tabela3[[#This Row],[Meta 2024]]*0.65</f>
        <v>62.759450000000001</v>
      </c>
      <c r="U83" s="421">
        <v>96.552999999999997</v>
      </c>
      <c r="V83" s="422">
        <f t="shared" si="9"/>
        <v>3.5855694778610552</v>
      </c>
      <c r="W83" s="424">
        <f t="shared" si="10"/>
        <v>1</v>
      </c>
    </row>
    <row r="84" spans="1:23">
      <c r="A84" s="418">
        <v>88</v>
      </c>
      <c r="B84" s="419" t="s">
        <v>153</v>
      </c>
      <c r="C84" s="418">
        <v>69</v>
      </c>
      <c r="D84" s="418">
        <v>24</v>
      </c>
      <c r="E84" s="418">
        <v>27</v>
      </c>
      <c r="F84" s="418">
        <v>19</v>
      </c>
      <c r="G84" s="418">
        <f t="shared" si="6"/>
        <v>139</v>
      </c>
      <c r="H84" s="420">
        <v>0.91449999999999998</v>
      </c>
      <c r="I84" s="421">
        <f>Tabela3[[#This Row],[TOTAL DE ALUNOS ABAIXO DO BÁSICO]]/Tabela3[[#This Row],[TOTAL DE ALUNOS]]*100</f>
        <v>49.640287769784173</v>
      </c>
      <c r="J84" s="421">
        <f>Tabela3[[#This Row],[Abaixo do Básico]]*1</f>
        <v>49.640287769784173</v>
      </c>
      <c r="K84" s="421">
        <f>Tabela3[[#This Row],[TOTAL DE ALUNOS NO BÁSICO]]/Tabela3[[#This Row],[TOTAL DE ALUNOS]]*100</f>
        <v>17.266187050359711</v>
      </c>
      <c r="L84" s="421">
        <f>Tabela3[[#This Row],[Básico]]*2</f>
        <v>34.532374100719423</v>
      </c>
      <c r="M84" s="421">
        <f>Tabela3[[#This Row],[TOTAL DE ALUNOS ADEQUADO]]/Tabela3[[#This Row],[TOTAL DE ALUNOS]]*100</f>
        <v>19.424460431654676</v>
      </c>
      <c r="N84" s="421">
        <f>Tabela3[[#This Row],[Adequado]]*3</f>
        <v>58.273381294964025</v>
      </c>
      <c r="O84" s="421">
        <f>Tabela3[[#This Row],[TOTAL DE ALUNOS AVANÇADO]]/Tabela3[[#This Row],[TOTAL DE ALUNOS]]*100</f>
        <v>13.669064748201439</v>
      </c>
      <c r="P84" s="422">
        <f>Tabela3[[#This Row],[Avançado]]*4</f>
        <v>54.676258992805757</v>
      </c>
      <c r="Q84" s="422">
        <f t="shared" si="7"/>
        <v>197.12230215827338</v>
      </c>
      <c r="R84" s="423">
        <f>Tabela3[[#This Row],[Participação]]*100</f>
        <v>91.45</v>
      </c>
      <c r="S84" s="422">
        <f t="shared" si="8"/>
        <v>197.12230215827338</v>
      </c>
      <c r="T84" s="421">
        <f>Tabela3[[#This Row],[Meta 2024]]*0.65</f>
        <v>115.16160499999999</v>
      </c>
      <c r="U84" s="421">
        <v>177.17169999999999</v>
      </c>
      <c r="V84" s="422">
        <f t="shared" si="9"/>
        <v>1.3217315206221407</v>
      </c>
      <c r="W84" s="424">
        <f t="shared" si="10"/>
        <v>1</v>
      </c>
    </row>
    <row r="85" spans="1:23">
      <c r="A85" s="418">
        <v>89</v>
      </c>
      <c r="B85" s="419" t="s">
        <v>205</v>
      </c>
      <c r="C85" s="418">
        <v>20</v>
      </c>
      <c r="D85" s="418">
        <v>8</v>
      </c>
      <c r="E85" s="418">
        <v>10</v>
      </c>
      <c r="F85" s="418">
        <v>9</v>
      </c>
      <c r="G85" s="418">
        <f t="shared" si="6"/>
        <v>47</v>
      </c>
      <c r="H85" s="420">
        <v>0.90380000000000005</v>
      </c>
      <c r="I85" s="421">
        <f>Tabela3[[#This Row],[TOTAL DE ALUNOS ABAIXO DO BÁSICO]]/Tabela3[[#This Row],[TOTAL DE ALUNOS]]*100</f>
        <v>42.553191489361701</v>
      </c>
      <c r="J85" s="421">
        <f>Tabela3[[#This Row],[Abaixo do Básico]]*1</f>
        <v>42.553191489361701</v>
      </c>
      <c r="K85" s="421">
        <f>Tabela3[[#This Row],[TOTAL DE ALUNOS NO BÁSICO]]/Tabela3[[#This Row],[TOTAL DE ALUNOS]]*100</f>
        <v>17.021276595744681</v>
      </c>
      <c r="L85" s="421">
        <f>Tabela3[[#This Row],[Básico]]*2</f>
        <v>34.042553191489361</v>
      </c>
      <c r="M85" s="421">
        <f>Tabela3[[#This Row],[TOTAL DE ALUNOS ADEQUADO]]/Tabela3[[#This Row],[TOTAL DE ALUNOS]]*100</f>
        <v>21.276595744680851</v>
      </c>
      <c r="N85" s="421">
        <f>Tabela3[[#This Row],[Adequado]]*3</f>
        <v>63.829787234042556</v>
      </c>
      <c r="O85" s="421">
        <f>Tabela3[[#This Row],[TOTAL DE ALUNOS AVANÇADO]]/Tabela3[[#This Row],[TOTAL DE ALUNOS]]*100</f>
        <v>19.148936170212767</v>
      </c>
      <c r="P85" s="422">
        <f>Tabela3[[#This Row],[Avançado]]*4</f>
        <v>76.59574468085107</v>
      </c>
      <c r="Q85" s="422">
        <f t="shared" si="7"/>
        <v>217.02127659574467</v>
      </c>
      <c r="R85" s="423">
        <f>Tabela3[[#This Row],[Participação]]*100</f>
        <v>90.38000000000001</v>
      </c>
      <c r="S85" s="422">
        <f t="shared" si="8"/>
        <v>217.02127659574467</v>
      </c>
      <c r="T85" s="421">
        <f>Tabela3[[#This Row],[Meta 2024]]*0.65</f>
        <v>136.57579000000001</v>
      </c>
      <c r="U85" s="421">
        <v>210.11660000000001</v>
      </c>
      <c r="V85" s="422">
        <f t="shared" si="9"/>
        <v>1.093889047397556</v>
      </c>
      <c r="W85" s="424">
        <f t="shared" si="10"/>
        <v>1</v>
      </c>
    </row>
    <row r="86" spans="1:23">
      <c r="A86" s="418">
        <v>90</v>
      </c>
      <c r="B86" s="419" t="s">
        <v>102</v>
      </c>
      <c r="C86" s="418">
        <v>17</v>
      </c>
      <c r="D86" s="418">
        <v>1</v>
      </c>
      <c r="E86" s="418">
        <v>5</v>
      </c>
      <c r="F86" s="418">
        <v>3</v>
      </c>
      <c r="G86" s="418">
        <f t="shared" si="6"/>
        <v>26</v>
      </c>
      <c r="H86" s="420">
        <v>0.57779999999999998</v>
      </c>
      <c r="I86" s="421">
        <f>Tabela3[[#This Row],[TOTAL DE ALUNOS ABAIXO DO BÁSICO]]/Tabela3[[#This Row],[TOTAL DE ALUNOS]]*100</f>
        <v>65.384615384615387</v>
      </c>
      <c r="J86" s="421">
        <f>Tabela3[[#This Row],[Abaixo do Básico]]*1</f>
        <v>65.384615384615387</v>
      </c>
      <c r="K86" s="421">
        <f>Tabela3[[#This Row],[TOTAL DE ALUNOS NO BÁSICO]]/Tabela3[[#This Row],[TOTAL DE ALUNOS]]*100</f>
        <v>3.8461538461538463</v>
      </c>
      <c r="L86" s="421">
        <f>Tabela3[[#This Row],[Básico]]*2</f>
        <v>7.6923076923076925</v>
      </c>
      <c r="M86" s="421">
        <f>Tabela3[[#This Row],[TOTAL DE ALUNOS ADEQUADO]]/Tabela3[[#This Row],[TOTAL DE ALUNOS]]*100</f>
        <v>19.230769230769234</v>
      </c>
      <c r="N86" s="421">
        <f>Tabela3[[#This Row],[Adequado]]*3</f>
        <v>57.692307692307701</v>
      </c>
      <c r="O86" s="421">
        <f>Tabela3[[#This Row],[TOTAL DE ALUNOS AVANÇADO]]/Tabela3[[#This Row],[TOTAL DE ALUNOS]]*100</f>
        <v>11.538461538461538</v>
      </c>
      <c r="P86" s="422">
        <f>Tabela3[[#This Row],[Avançado]]*4</f>
        <v>46.153846153846153</v>
      </c>
      <c r="Q86" s="422">
        <f t="shared" si="7"/>
        <v>176.92307692307693</v>
      </c>
      <c r="R86" s="423">
        <f>Tabela3[[#This Row],[Participação]]*100</f>
        <v>57.78</v>
      </c>
      <c r="S86" s="422">
        <f t="shared" si="8"/>
        <v>176.92307692307693</v>
      </c>
      <c r="T86" s="421">
        <f>Tabela3[[#This Row],[Meta 2024]]*0.65</f>
        <v>122.80164000000001</v>
      </c>
      <c r="U86" s="421">
        <v>188.9256</v>
      </c>
      <c r="V86" s="422">
        <f t="shared" si="9"/>
        <v>0.81848450883880719</v>
      </c>
      <c r="W86" s="424">
        <f t="shared" si="10"/>
        <v>0.81848450883880719</v>
      </c>
    </row>
    <row r="87" spans="1:23">
      <c r="A87" s="418">
        <v>91</v>
      </c>
      <c r="B87" s="419" t="s">
        <v>176</v>
      </c>
      <c r="C87" s="418">
        <v>52</v>
      </c>
      <c r="D87" s="418">
        <v>12</v>
      </c>
      <c r="E87" s="418">
        <v>24</v>
      </c>
      <c r="F87" s="418">
        <v>37</v>
      </c>
      <c r="G87" s="418">
        <f t="shared" si="6"/>
        <v>125</v>
      </c>
      <c r="H87" s="420">
        <v>0.76690000000000003</v>
      </c>
      <c r="I87" s="421">
        <f>Tabela3[[#This Row],[TOTAL DE ALUNOS ABAIXO DO BÁSICO]]/Tabela3[[#This Row],[TOTAL DE ALUNOS]]*100</f>
        <v>41.6</v>
      </c>
      <c r="J87" s="421">
        <f>Tabela3[[#This Row],[Abaixo do Básico]]*1</f>
        <v>41.6</v>
      </c>
      <c r="K87" s="421">
        <f>Tabela3[[#This Row],[TOTAL DE ALUNOS NO BÁSICO]]/Tabela3[[#This Row],[TOTAL DE ALUNOS]]*100</f>
        <v>9.6</v>
      </c>
      <c r="L87" s="421">
        <f>Tabela3[[#This Row],[Básico]]*2</f>
        <v>19.2</v>
      </c>
      <c r="M87" s="421">
        <f>Tabela3[[#This Row],[TOTAL DE ALUNOS ADEQUADO]]/Tabela3[[#This Row],[TOTAL DE ALUNOS]]*100</f>
        <v>19.2</v>
      </c>
      <c r="N87" s="421">
        <f>Tabela3[[#This Row],[Adequado]]*3</f>
        <v>57.599999999999994</v>
      </c>
      <c r="O87" s="421">
        <f>Tabela3[[#This Row],[TOTAL DE ALUNOS AVANÇADO]]/Tabela3[[#This Row],[TOTAL DE ALUNOS]]*100</f>
        <v>29.599999999999998</v>
      </c>
      <c r="P87" s="422">
        <f>Tabela3[[#This Row],[Avançado]]*4</f>
        <v>118.39999999999999</v>
      </c>
      <c r="Q87" s="422">
        <f t="shared" si="7"/>
        <v>236.79999999999998</v>
      </c>
      <c r="R87" s="423">
        <f>Tabela3[[#This Row],[Participação]]*100</f>
        <v>76.69</v>
      </c>
      <c r="S87" s="422">
        <f t="shared" si="8"/>
        <v>236.79999999999998</v>
      </c>
      <c r="T87" s="421">
        <f>Tabela3[[#This Row],[Meta 2024]]*0.65</f>
        <v>160.057365</v>
      </c>
      <c r="U87" s="421">
        <v>246.24209999999999</v>
      </c>
      <c r="V87" s="422">
        <f t="shared" si="9"/>
        <v>0.89044347586611461</v>
      </c>
      <c r="W87" s="424">
        <f t="shared" si="10"/>
        <v>0.89044347586611461</v>
      </c>
    </row>
    <row r="88" spans="1:23">
      <c r="A88" s="418">
        <v>92</v>
      </c>
      <c r="B88" s="419" t="s">
        <v>154</v>
      </c>
      <c r="C88" s="418">
        <v>29</v>
      </c>
      <c r="D88" s="418">
        <v>5</v>
      </c>
      <c r="E88" s="418">
        <v>10</v>
      </c>
      <c r="F88" s="418">
        <v>9</v>
      </c>
      <c r="G88" s="418">
        <f t="shared" si="6"/>
        <v>53</v>
      </c>
      <c r="H88" s="420">
        <v>0.91379999999999995</v>
      </c>
      <c r="I88" s="421">
        <f>Tabela3[[#This Row],[TOTAL DE ALUNOS ABAIXO DO BÁSICO]]/Tabela3[[#This Row],[TOTAL DE ALUNOS]]*100</f>
        <v>54.716981132075468</v>
      </c>
      <c r="J88" s="421">
        <f>Tabela3[[#This Row],[Abaixo do Básico]]*1</f>
        <v>54.716981132075468</v>
      </c>
      <c r="K88" s="421">
        <f>Tabela3[[#This Row],[TOTAL DE ALUNOS NO BÁSICO]]/Tabela3[[#This Row],[TOTAL DE ALUNOS]]*100</f>
        <v>9.433962264150944</v>
      </c>
      <c r="L88" s="421">
        <f>Tabela3[[#This Row],[Básico]]*2</f>
        <v>18.867924528301888</v>
      </c>
      <c r="M88" s="421">
        <f>Tabela3[[#This Row],[TOTAL DE ALUNOS ADEQUADO]]/Tabela3[[#This Row],[TOTAL DE ALUNOS]]*100</f>
        <v>18.867924528301888</v>
      </c>
      <c r="N88" s="421">
        <f>Tabela3[[#This Row],[Adequado]]*3</f>
        <v>56.603773584905667</v>
      </c>
      <c r="O88" s="421">
        <f>Tabela3[[#This Row],[TOTAL DE ALUNOS AVANÇADO]]/Tabela3[[#This Row],[TOTAL DE ALUNOS]]*100</f>
        <v>16.981132075471699</v>
      </c>
      <c r="P88" s="422">
        <f>Tabela3[[#This Row],[Avançado]]*4</f>
        <v>67.924528301886795</v>
      </c>
      <c r="Q88" s="422">
        <f t="shared" si="7"/>
        <v>198.11320754716982</v>
      </c>
      <c r="R88" s="423">
        <f>Tabela3[[#This Row],[Participação]]*100</f>
        <v>91.38</v>
      </c>
      <c r="S88" s="422">
        <f t="shared" si="8"/>
        <v>198.11320754716982</v>
      </c>
      <c r="T88" s="421">
        <f>Tabela3[[#This Row],[Meta 2024]]*0.65</f>
        <v>122.290025</v>
      </c>
      <c r="U88" s="421">
        <v>188.13849999999999</v>
      </c>
      <c r="V88" s="422">
        <f t="shared" si="9"/>
        <v>1.151479704688223</v>
      </c>
      <c r="W88" s="424">
        <f t="shared" si="10"/>
        <v>1</v>
      </c>
    </row>
    <row r="89" spans="1:23">
      <c r="A89" s="418">
        <v>93</v>
      </c>
      <c r="B89" s="419" t="s">
        <v>207</v>
      </c>
      <c r="C89" s="418">
        <v>13</v>
      </c>
      <c r="D89" s="418">
        <v>5</v>
      </c>
      <c r="E89" s="418">
        <v>7</v>
      </c>
      <c r="F89" s="418">
        <v>2</v>
      </c>
      <c r="G89" s="418">
        <f t="shared" si="6"/>
        <v>27</v>
      </c>
      <c r="H89" s="420">
        <v>0.9</v>
      </c>
      <c r="I89" s="421">
        <f>Tabela3[[#This Row],[TOTAL DE ALUNOS ABAIXO DO BÁSICO]]/Tabela3[[#This Row],[TOTAL DE ALUNOS]]*100</f>
        <v>48.148148148148145</v>
      </c>
      <c r="J89" s="421">
        <f>Tabela3[[#This Row],[Abaixo do Básico]]*1</f>
        <v>48.148148148148145</v>
      </c>
      <c r="K89" s="421">
        <f>Tabela3[[#This Row],[TOTAL DE ALUNOS NO BÁSICO]]/Tabela3[[#This Row],[TOTAL DE ALUNOS]]*100</f>
        <v>18.518518518518519</v>
      </c>
      <c r="L89" s="421">
        <f>Tabela3[[#This Row],[Básico]]*2</f>
        <v>37.037037037037038</v>
      </c>
      <c r="M89" s="421">
        <f>Tabela3[[#This Row],[TOTAL DE ALUNOS ADEQUADO]]/Tabela3[[#This Row],[TOTAL DE ALUNOS]]*100</f>
        <v>25.925925925925924</v>
      </c>
      <c r="N89" s="421">
        <f>Tabela3[[#This Row],[Adequado]]*3</f>
        <v>77.777777777777771</v>
      </c>
      <c r="O89" s="421">
        <f>Tabela3[[#This Row],[TOTAL DE ALUNOS AVANÇADO]]/Tabela3[[#This Row],[TOTAL DE ALUNOS]]*100</f>
        <v>7.4074074074074066</v>
      </c>
      <c r="P89" s="422">
        <f>Tabela3[[#This Row],[Avançado]]*4</f>
        <v>29.629629629629626</v>
      </c>
      <c r="Q89" s="422">
        <f t="shared" si="7"/>
        <v>192.59259259259258</v>
      </c>
      <c r="R89" s="423">
        <f>Tabela3[[#This Row],[Participação]]*100</f>
        <v>90</v>
      </c>
      <c r="S89" s="422">
        <f t="shared" si="8"/>
        <v>192.59259259259258</v>
      </c>
      <c r="T89" s="421">
        <f>Tabela3[[#This Row],[Meta 2024]]*0.65</f>
        <v>116.66232500000001</v>
      </c>
      <c r="U89" s="421">
        <v>179.48050000000001</v>
      </c>
      <c r="V89" s="422">
        <f t="shared" si="9"/>
        <v>1.2087308743463587</v>
      </c>
      <c r="W89" s="424">
        <f t="shared" si="10"/>
        <v>1</v>
      </c>
    </row>
    <row r="90" spans="1:23">
      <c r="A90" s="418">
        <v>94</v>
      </c>
      <c r="B90" s="419" t="s">
        <v>84</v>
      </c>
      <c r="C90" s="418">
        <v>70</v>
      </c>
      <c r="D90" s="418">
        <v>36</v>
      </c>
      <c r="E90" s="418">
        <v>41</v>
      </c>
      <c r="F90" s="418">
        <v>37</v>
      </c>
      <c r="G90" s="418">
        <f t="shared" si="6"/>
        <v>184</v>
      </c>
      <c r="H90" s="420">
        <v>0.92</v>
      </c>
      <c r="I90" s="421">
        <f>Tabela3[[#This Row],[TOTAL DE ALUNOS ABAIXO DO BÁSICO]]/Tabela3[[#This Row],[TOTAL DE ALUNOS]]*100</f>
        <v>38.04347826086957</v>
      </c>
      <c r="J90" s="421">
        <f>Tabela3[[#This Row],[Abaixo do Básico]]*1</f>
        <v>38.04347826086957</v>
      </c>
      <c r="K90" s="421">
        <f>Tabela3[[#This Row],[TOTAL DE ALUNOS NO BÁSICO]]/Tabela3[[#This Row],[TOTAL DE ALUNOS]]*100</f>
        <v>19.565217391304348</v>
      </c>
      <c r="L90" s="421">
        <f>Tabela3[[#This Row],[Básico]]*2</f>
        <v>39.130434782608695</v>
      </c>
      <c r="M90" s="421">
        <f>Tabela3[[#This Row],[TOTAL DE ALUNOS ADEQUADO]]/Tabela3[[#This Row],[TOTAL DE ALUNOS]]*100</f>
        <v>22.282608695652172</v>
      </c>
      <c r="N90" s="421">
        <f>Tabela3[[#This Row],[Adequado]]*3</f>
        <v>66.847826086956516</v>
      </c>
      <c r="O90" s="421">
        <f>Tabela3[[#This Row],[TOTAL DE ALUNOS AVANÇADO]]/Tabela3[[#This Row],[TOTAL DE ALUNOS]]*100</f>
        <v>20.108695652173914</v>
      </c>
      <c r="P90" s="422">
        <f>Tabela3[[#This Row],[Avançado]]*4</f>
        <v>80.434782608695656</v>
      </c>
      <c r="Q90" s="422">
        <f t="shared" si="7"/>
        <v>224.45652173913044</v>
      </c>
      <c r="R90" s="423">
        <f>Tabela3[[#This Row],[Participação]]*100</f>
        <v>92</v>
      </c>
      <c r="S90" s="422">
        <f t="shared" si="8"/>
        <v>224.45652173913044</v>
      </c>
      <c r="T90" s="421">
        <f>Tabela3[[#This Row],[Meta 2024]]*0.65</f>
        <v>136.82987499999999</v>
      </c>
      <c r="U90" s="421">
        <v>210.50749999999999</v>
      </c>
      <c r="V90" s="422">
        <f t="shared" si="9"/>
        <v>1.1893250731023217</v>
      </c>
      <c r="W90" s="424">
        <f t="shared" si="10"/>
        <v>1</v>
      </c>
    </row>
    <row r="91" spans="1:23">
      <c r="A91" s="418">
        <v>95</v>
      </c>
      <c r="B91" s="419" t="s">
        <v>111</v>
      </c>
      <c r="C91" s="418">
        <v>51</v>
      </c>
      <c r="D91" s="418">
        <v>25</v>
      </c>
      <c r="E91" s="418">
        <v>46</v>
      </c>
      <c r="F91" s="418">
        <v>40</v>
      </c>
      <c r="G91" s="418">
        <f t="shared" si="6"/>
        <v>162</v>
      </c>
      <c r="H91" s="420">
        <v>0.93100000000000005</v>
      </c>
      <c r="I91" s="421">
        <f>Tabela3[[#This Row],[TOTAL DE ALUNOS ABAIXO DO BÁSICO]]/Tabela3[[#This Row],[TOTAL DE ALUNOS]]*100</f>
        <v>31.481481481481481</v>
      </c>
      <c r="J91" s="421">
        <f>Tabela3[[#This Row],[Abaixo do Básico]]*1</f>
        <v>31.481481481481481</v>
      </c>
      <c r="K91" s="421">
        <f>Tabela3[[#This Row],[TOTAL DE ALUNOS NO BÁSICO]]/Tabela3[[#This Row],[TOTAL DE ALUNOS]]*100</f>
        <v>15.432098765432098</v>
      </c>
      <c r="L91" s="421">
        <f>Tabela3[[#This Row],[Básico]]*2</f>
        <v>30.864197530864196</v>
      </c>
      <c r="M91" s="421">
        <f>Tabela3[[#This Row],[TOTAL DE ALUNOS ADEQUADO]]/Tabela3[[#This Row],[TOTAL DE ALUNOS]]*100</f>
        <v>28.39506172839506</v>
      </c>
      <c r="N91" s="421">
        <f>Tabela3[[#This Row],[Adequado]]*3</f>
        <v>85.185185185185176</v>
      </c>
      <c r="O91" s="421">
        <f>Tabela3[[#This Row],[TOTAL DE ALUNOS AVANÇADO]]/Tabela3[[#This Row],[TOTAL DE ALUNOS]]*100</f>
        <v>24.691358024691358</v>
      </c>
      <c r="P91" s="422">
        <f>Tabela3[[#This Row],[Avançado]]*4</f>
        <v>98.76543209876543</v>
      </c>
      <c r="Q91" s="422">
        <f t="shared" si="7"/>
        <v>246.2962962962963</v>
      </c>
      <c r="R91" s="423">
        <f>Tabela3[[#This Row],[Participação]]*100</f>
        <v>93.100000000000009</v>
      </c>
      <c r="S91" s="422">
        <f t="shared" si="8"/>
        <v>246.2962962962963</v>
      </c>
      <c r="T91" s="421">
        <f>Tabela3[[#This Row],[Meta 2024]]*0.65</f>
        <v>155.76366000000002</v>
      </c>
      <c r="U91" s="421">
        <v>239.63640000000001</v>
      </c>
      <c r="V91" s="422">
        <f t="shared" si="9"/>
        <v>1.0794047779564171</v>
      </c>
      <c r="W91" s="424">
        <f t="shared" si="10"/>
        <v>1</v>
      </c>
    </row>
    <row r="92" spans="1:23">
      <c r="A92" s="418">
        <v>96</v>
      </c>
      <c r="B92" s="419" t="s">
        <v>193</v>
      </c>
      <c r="C92" s="418">
        <v>139</v>
      </c>
      <c r="D92" s="418">
        <v>26</v>
      </c>
      <c r="E92" s="418">
        <v>72</v>
      </c>
      <c r="F92" s="418">
        <v>67</v>
      </c>
      <c r="G92" s="418">
        <f t="shared" si="6"/>
        <v>304</v>
      </c>
      <c r="H92" s="420">
        <v>0.89149999999999996</v>
      </c>
      <c r="I92" s="421">
        <f>Tabela3[[#This Row],[TOTAL DE ALUNOS ABAIXO DO BÁSICO]]/Tabela3[[#This Row],[TOTAL DE ALUNOS]]*100</f>
        <v>45.723684210526315</v>
      </c>
      <c r="J92" s="421">
        <f>Tabela3[[#This Row],[Abaixo do Básico]]*1</f>
        <v>45.723684210526315</v>
      </c>
      <c r="K92" s="421">
        <f>Tabela3[[#This Row],[TOTAL DE ALUNOS NO BÁSICO]]/Tabela3[[#This Row],[TOTAL DE ALUNOS]]*100</f>
        <v>8.5526315789473681</v>
      </c>
      <c r="L92" s="421">
        <f>Tabela3[[#This Row],[Básico]]*2</f>
        <v>17.105263157894736</v>
      </c>
      <c r="M92" s="421">
        <f>Tabela3[[#This Row],[TOTAL DE ALUNOS ADEQUADO]]/Tabela3[[#This Row],[TOTAL DE ALUNOS]]*100</f>
        <v>23.684210526315788</v>
      </c>
      <c r="N92" s="421">
        <f>Tabela3[[#This Row],[Adequado]]*3</f>
        <v>71.05263157894737</v>
      </c>
      <c r="O92" s="421">
        <f>Tabela3[[#This Row],[TOTAL DE ALUNOS AVANÇADO]]/Tabela3[[#This Row],[TOTAL DE ALUNOS]]*100</f>
        <v>22.039473684210524</v>
      </c>
      <c r="P92" s="422">
        <f>Tabela3[[#This Row],[Avançado]]*4</f>
        <v>88.157894736842096</v>
      </c>
      <c r="Q92" s="422">
        <f t="shared" si="7"/>
        <v>222.03947368421052</v>
      </c>
      <c r="R92" s="423">
        <f>Tabela3[[#This Row],[Participação]]*100</f>
        <v>89.149999999999991</v>
      </c>
      <c r="S92" s="422">
        <f t="shared" si="8"/>
        <v>222.03947368421052</v>
      </c>
      <c r="T92" s="421">
        <f>Tabela3[[#This Row],[Meta 2024]]*0.65</f>
        <v>149.16421</v>
      </c>
      <c r="U92" s="421">
        <v>229.48339999999999</v>
      </c>
      <c r="V92" s="422">
        <f t="shared" si="9"/>
        <v>0.90732069987521702</v>
      </c>
      <c r="W92" s="424">
        <f t="shared" si="10"/>
        <v>0.90732069987521702</v>
      </c>
    </row>
    <row r="93" spans="1:23">
      <c r="A93" s="418">
        <v>97</v>
      </c>
      <c r="B93" s="419" t="s">
        <v>140</v>
      </c>
      <c r="C93" s="418">
        <v>53</v>
      </c>
      <c r="D93" s="418">
        <v>14</v>
      </c>
      <c r="E93" s="418">
        <v>21</v>
      </c>
      <c r="F93" s="418">
        <v>20</v>
      </c>
      <c r="G93" s="418">
        <f t="shared" si="6"/>
        <v>108</v>
      </c>
      <c r="H93" s="420">
        <v>0.94740000000000002</v>
      </c>
      <c r="I93" s="421">
        <f>Tabela3[[#This Row],[TOTAL DE ALUNOS ABAIXO DO BÁSICO]]/Tabela3[[#This Row],[TOTAL DE ALUNOS]]*100</f>
        <v>49.074074074074076</v>
      </c>
      <c r="J93" s="421">
        <f>Tabela3[[#This Row],[Abaixo do Básico]]*1</f>
        <v>49.074074074074076</v>
      </c>
      <c r="K93" s="421">
        <f>Tabela3[[#This Row],[TOTAL DE ALUNOS NO BÁSICO]]/Tabela3[[#This Row],[TOTAL DE ALUNOS]]*100</f>
        <v>12.962962962962962</v>
      </c>
      <c r="L93" s="421">
        <f>Tabela3[[#This Row],[Básico]]*2</f>
        <v>25.925925925925924</v>
      </c>
      <c r="M93" s="421">
        <f>Tabela3[[#This Row],[TOTAL DE ALUNOS ADEQUADO]]/Tabela3[[#This Row],[TOTAL DE ALUNOS]]*100</f>
        <v>19.444444444444446</v>
      </c>
      <c r="N93" s="421">
        <f>Tabela3[[#This Row],[Adequado]]*3</f>
        <v>58.333333333333343</v>
      </c>
      <c r="O93" s="421">
        <f>Tabela3[[#This Row],[TOTAL DE ALUNOS AVANÇADO]]/Tabela3[[#This Row],[TOTAL DE ALUNOS]]*100</f>
        <v>18.518518518518519</v>
      </c>
      <c r="P93" s="422">
        <f>Tabela3[[#This Row],[Avançado]]*4</f>
        <v>74.074074074074076</v>
      </c>
      <c r="Q93" s="422">
        <f t="shared" si="7"/>
        <v>207.40740740740742</v>
      </c>
      <c r="R93" s="423">
        <f>Tabela3[[#This Row],[Participação]]*100</f>
        <v>94.740000000000009</v>
      </c>
      <c r="S93" s="422">
        <f t="shared" si="8"/>
        <v>207.40740740740742</v>
      </c>
      <c r="T93" s="421">
        <f>Tabela3[[#This Row],[Meta 2024]]*0.65</f>
        <v>128.99997500000001</v>
      </c>
      <c r="U93" s="421">
        <v>198.4615</v>
      </c>
      <c r="V93" s="422">
        <f t="shared" si="9"/>
        <v>1.1287893896283938</v>
      </c>
      <c r="W93" s="424">
        <f t="shared" si="10"/>
        <v>1</v>
      </c>
    </row>
    <row r="94" spans="1:23">
      <c r="A94" s="418">
        <v>98</v>
      </c>
      <c r="B94" s="419" t="s">
        <v>110</v>
      </c>
      <c r="C94" s="418">
        <v>82</v>
      </c>
      <c r="D94" s="418">
        <v>31</v>
      </c>
      <c r="E94" s="418">
        <v>66</v>
      </c>
      <c r="F94" s="418">
        <v>94</v>
      </c>
      <c r="G94" s="418">
        <f t="shared" si="6"/>
        <v>273</v>
      </c>
      <c r="H94" s="420">
        <v>0.8639</v>
      </c>
      <c r="I94" s="421">
        <f>Tabela3[[#This Row],[TOTAL DE ALUNOS ABAIXO DO BÁSICO]]/Tabela3[[#This Row],[TOTAL DE ALUNOS]]*100</f>
        <v>30.036630036630036</v>
      </c>
      <c r="J94" s="421">
        <f>Tabela3[[#This Row],[Abaixo do Básico]]*1</f>
        <v>30.036630036630036</v>
      </c>
      <c r="K94" s="421">
        <f>Tabela3[[#This Row],[TOTAL DE ALUNOS NO BÁSICO]]/Tabela3[[#This Row],[TOTAL DE ALUNOS]]*100</f>
        <v>11.355311355311356</v>
      </c>
      <c r="L94" s="421">
        <f>Tabela3[[#This Row],[Básico]]*2</f>
        <v>22.710622710622712</v>
      </c>
      <c r="M94" s="421">
        <f>Tabela3[[#This Row],[TOTAL DE ALUNOS ADEQUADO]]/Tabela3[[#This Row],[TOTAL DE ALUNOS]]*100</f>
        <v>24.175824175824175</v>
      </c>
      <c r="N94" s="421">
        <f>Tabela3[[#This Row],[Adequado]]*3</f>
        <v>72.527472527472526</v>
      </c>
      <c r="O94" s="421">
        <f>Tabela3[[#This Row],[TOTAL DE ALUNOS AVANÇADO]]/Tabela3[[#This Row],[TOTAL DE ALUNOS]]*100</f>
        <v>34.432234432234431</v>
      </c>
      <c r="P94" s="422">
        <f>Tabela3[[#This Row],[Avançado]]*4</f>
        <v>137.72893772893772</v>
      </c>
      <c r="Q94" s="422">
        <f t="shared" si="7"/>
        <v>263.00366300366301</v>
      </c>
      <c r="R94" s="423">
        <f>Tabela3[[#This Row],[Participação]]*100</f>
        <v>86.39</v>
      </c>
      <c r="S94" s="422">
        <f t="shared" si="8"/>
        <v>263.00366300366301</v>
      </c>
      <c r="T94" s="421">
        <f>Tabela3[[#This Row],[Meta 2024]]*0.65</f>
        <v>166.22866000000002</v>
      </c>
      <c r="U94" s="421">
        <v>255.7364</v>
      </c>
      <c r="V94" s="422">
        <f t="shared" si="9"/>
        <v>1.0811914478419744</v>
      </c>
      <c r="W94" s="424">
        <f t="shared" si="10"/>
        <v>1</v>
      </c>
    </row>
    <row r="95" spans="1:23">
      <c r="A95" s="418">
        <v>99</v>
      </c>
      <c r="B95" s="419" t="s">
        <v>204</v>
      </c>
      <c r="C95" s="418">
        <v>59</v>
      </c>
      <c r="D95" s="418">
        <v>18</v>
      </c>
      <c r="E95" s="418">
        <v>21</v>
      </c>
      <c r="F95" s="418">
        <v>22</v>
      </c>
      <c r="G95" s="418">
        <f t="shared" si="6"/>
        <v>120</v>
      </c>
      <c r="H95" s="420">
        <v>0.88890000000000002</v>
      </c>
      <c r="I95" s="421">
        <f>Tabela3[[#This Row],[TOTAL DE ALUNOS ABAIXO DO BÁSICO]]/Tabela3[[#This Row],[TOTAL DE ALUNOS]]*100</f>
        <v>49.166666666666664</v>
      </c>
      <c r="J95" s="421">
        <f>Tabela3[[#This Row],[Abaixo do Básico]]*1</f>
        <v>49.166666666666664</v>
      </c>
      <c r="K95" s="421">
        <f>Tabela3[[#This Row],[TOTAL DE ALUNOS NO BÁSICO]]/Tabela3[[#This Row],[TOTAL DE ALUNOS]]*100</f>
        <v>15</v>
      </c>
      <c r="L95" s="421">
        <f>Tabela3[[#This Row],[Básico]]*2</f>
        <v>30</v>
      </c>
      <c r="M95" s="421">
        <f>Tabela3[[#This Row],[TOTAL DE ALUNOS ADEQUADO]]/Tabela3[[#This Row],[TOTAL DE ALUNOS]]*100</f>
        <v>17.5</v>
      </c>
      <c r="N95" s="421">
        <f>Tabela3[[#This Row],[Adequado]]*3</f>
        <v>52.5</v>
      </c>
      <c r="O95" s="421">
        <f>Tabela3[[#This Row],[TOTAL DE ALUNOS AVANÇADO]]/Tabela3[[#This Row],[TOTAL DE ALUNOS]]*100</f>
        <v>18.333333333333332</v>
      </c>
      <c r="P95" s="422">
        <f>Tabela3[[#This Row],[Avançado]]*4</f>
        <v>73.333333333333329</v>
      </c>
      <c r="Q95" s="422">
        <f t="shared" si="7"/>
        <v>205</v>
      </c>
      <c r="R95" s="423">
        <f>Tabela3[[#This Row],[Participação]]*100</f>
        <v>88.89</v>
      </c>
      <c r="S95" s="422">
        <f t="shared" si="8"/>
        <v>205</v>
      </c>
      <c r="T95" s="421">
        <f>Tabela3[[#This Row],[Meta 2024]]*0.65</f>
        <v>133.02250000000001</v>
      </c>
      <c r="U95" s="421">
        <v>204.65</v>
      </c>
      <c r="V95" s="422">
        <f t="shared" si="9"/>
        <v>1.0048863913999511</v>
      </c>
      <c r="W95" s="424">
        <f t="shared" si="10"/>
        <v>1</v>
      </c>
    </row>
    <row r="96" spans="1:23">
      <c r="A96" s="418">
        <v>100</v>
      </c>
      <c r="B96" s="419" t="s">
        <v>183</v>
      </c>
      <c r="C96" s="418">
        <v>43</v>
      </c>
      <c r="D96" s="418">
        <v>17</v>
      </c>
      <c r="E96" s="418">
        <v>45</v>
      </c>
      <c r="F96" s="418">
        <v>50</v>
      </c>
      <c r="G96" s="418">
        <f t="shared" si="6"/>
        <v>155</v>
      </c>
      <c r="H96" s="420">
        <v>0.98729999999999996</v>
      </c>
      <c r="I96" s="421">
        <f>Tabela3[[#This Row],[TOTAL DE ALUNOS ABAIXO DO BÁSICO]]/Tabela3[[#This Row],[TOTAL DE ALUNOS]]*100</f>
        <v>27.741935483870968</v>
      </c>
      <c r="J96" s="421">
        <f>Tabela3[[#This Row],[Abaixo do Básico]]*1</f>
        <v>27.741935483870968</v>
      </c>
      <c r="K96" s="421">
        <f>Tabela3[[#This Row],[TOTAL DE ALUNOS NO BÁSICO]]/Tabela3[[#This Row],[TOTAL DE ALUNOS]]*100</f>
        <v>10.967741935483872</v>
      </c>
      <c r="L96" s="421">
        <f>Tabela3[[#This Row],[Básico]]*2</f>
        <v>21.935483870967744</v>
      </c>
      <c r="M96" s="421">
        <f>Tabela3[[#This Row],[TOTAL DE ALUNOS ADEQUADO]]/Tabela3[[#This Row],[TOTAL DE ALUNOS]]*100</f>
        <v>29.032258064516132</v>
      </c>
      <c r="N96" s="421">
        <f>Tabela3[[#This Row],[Adequado]]*3</f>
        <v>87.096774193548399</v>
      </c>
      <c r="O96" s="421">
        <f>Tabela3[[#This Row],[TOTAL DE ALUNOS AVANÇADO]]/Tabela3[[#This Row],[TOTAL DE ALUNOS]]*100</f>
        <v>32.258064516129032</v>
      </c>
      <c r="P96" s="422">
        <f>Tabela3[[#This Row],[Avançado]]*4</f>
        <v>129.03225806451613</v>
      </c>
      <c r="Q96" s="422">
        <f t="shared" si="7"/>
        <v>265.80645161290323</v>
      </c>
      <c r="R96" s="423">
        <f>Tabela3[[#This Row],[Participação]]*100</f>
        <v>98.72999999999999</v>
      </c>
      <c r="S96" s="422">
        <f t="shared" si="8"/>
        <v>265.80645161290323</v>
      </c>
      <c r="T96" s="421">
        <f>Tabela3[[#This Row],[Meta 2024]]*0.65</f>
        <v>165.40953000000002</v>
      </c>
      <c r="U96" s="421">
        <v>254.47620000000001</v>
      </c>
      <c r="V96" s="422">
        <f t="shared" si="9"/>
        <v>1.1272109040666192</v>
      </c>
      <c r="W96" s="424">
        <f t="shared" si="10"/>
        <v>1</v>
      </c>
    </row>
    <row r="97" spans="1:23">
      <c r="A97" s="418">
        <v>101</v>
      </c>
      <c r="B97" s="419" t="s">
        <v>137</v>
      </c>
      <c r="C97" s="418">
        <v>89</v>
      </c>
      <c r="D97" s="418">
        <v>39</v>
      </c>
      <c r="E97" s="418">
        <v>55</v>
      </c>
      <c r="F97" s="418">
        <v>71</v>
      </c>
      <c r="G97" s="418">
        <f t="shared" si="6"/>
        <v>254</v>
      </c>
      <c r="H97" s="420">
        <v>0.94069999999999998</v>
      </c>
      <c r="I97" s="421">
        <f>Tabela3[[#This Row],[TOTAL DE ALUNOS ABAIXO DO BÁSICO]]/Tabela3[[#This Row],[TOTAL DE ALUNOS]]*100</f>
        <v>35.039370078740156</v>
      </c>
      <c r="J97" s="421">
        <f>Tabela3[[#This Row],[Abaixo do Básico]]*1</f>
        <v>35.039370078740156</v>
      </c>
      <c r="K97" s="421">
        <f>Tabela3[[#This Row],[TOTAL DE ALUNOS NO BÁSICO]]/Tabela3[[#This Row],[TOTAL DE ALUNOS]]*100</f>
        <v>15.354330708661418</v>
      </c>
      <c r="L97" s="421">
        <f>Tabela3[[#This Row],[Básico]]*2</f>
        <v>30.708661417322837</v>
      </c>
      <c r="M97" s="421">
        <f>Tabela3[[#This Row],[TOTAL DE ALUNOS ADEQUADO]]/Tabela3[[#This Row],[TOTAL DE ALUNOS]]*100</f>
        <v>21.653543307086615</v>
      </c>
      <c r="N97" s="421">
        <f>Tabela3[[#This Row],[Adequado]]*3</f>
        <v>64.960629921259851</v>
      </c>
      <c r="O97" s="421">
        <f>Tabela3[[#This Row],[TOTAL DE ALUNOS AVANÇADO]]/Tabela3[[#This Row],[TOTAL DE ALUNOS]]*100</f>
        <v>27.952755905511811</v>
      </c>
      <c r="P97" s="422">
        <f>Tabela3[[#This Row],[Avançado]]*4</f>
        <v>111.81102362204724</v>
      </c>
      <c r="Q97" s="422">
        <f t="shared" si="7"/>
        <v>242.51968503937007</v>
      </c>
      <c r="R97" s="423">
        <f>Tabela3[[#This Row],[Participação]]*100</f>
        <v>94.07</v>
      </c>
      <c r="S97" s="422">
        <f t="shared" si="8"/>
        <v>242.51968503937007</v>
      </c>
      <c r="T97" s="421">
        <f>Tabela3[[#This Row],[Meta 2024]]*0.65</f>
        <v>165.631505</v>
      </c>
      <c r="U97" s="421">
        <v>254.8177</v>
      </c>
      <c r="V97" s="422">
        <f t="shared" si="9"/>
        <v>0.86210853640936325</v>
      </c>
      <c r="W97" s="424">
        <f t="shared" si="10"/>
        <v>0.86210853640936325</v>
      </c>
    </row>
    <row r="98" spans="1:23">
      <c r="A98" s="418">
        <v>102</v>
      </c>
      <c r="B98" s="419" t="s">
        <v>219</v>
      </c>
      <c r="C98" s="418">
        <v>36</v>
      </c>
      <c r="D98" s="418">
        <v>7</v>
      </c>
      <c r="E98" s="418">
        <v>16</v>
      </c>
      <c r="F98" s="418">
        <v>8</v>
      </c>
      <c r="G98" s="418">
        <f t="shared" si="6"/>
        <v>67</v>
      </c>
      <c r="H98" s="420">
        <v>0.87009999999999998</v>
      </c>
      <c r="I98" s="421">
        <f>Tabela3[[#This Row],[TOTAL DE ALUNOS ABAIXO DO BÁSICO]]/Tabela3[[#This Row],[TOTAL DE ALUNOS]]*100</f>
        <v>53.731343283582092</v>
      </c>
      <c r="J98" s="421">
        <f>Tabela3[[#This Row],[Abaixo do Básico]]*1</f>
        <v>53.731343283582092</v>
      </c>
      <c r="K98" s="421">
        <f>Tabela3[[#This Row],[TOTAL DE ALUNOS NO BÁSICO]]/Tabela3[[#This Row],[TOTAL DE ALUNOS]]*100</f>
        <v>10.44776119402985</v>
      </c>
      <c r="L98" s="421">
        <f>Tabela3[[#This Row],[Básico]]*2</f>
        <v>20.8955223880597</v>
      </c>
      <c r="M98" s="421">
        <f>Tabela3[[#This Row],[TOTAL DE ALUNOS ADEQUADO]]/Tabela3[[#This Row],[TOTAL DE ALUNOS]]*100</f>
        <v>23.880597014925371</v>
      </c>
      <c r="N98" s="421">
        <f>Tabela3[[#This Row],[Adequado]]*3</f>
        <v>71.641791044776113</v>
      </c>
      <c r="O98" s="421">
        <f>Tabela3[[#This Row],[TOTAL DE ALUNOS AVANÇADO]]/Tabela3[[#This Row],[TOTAL DE ALUNOS]]*100</f>
        <v>11.940298507462686</v>
      </c>
      <c r="P98" s="422">
        <f>Tabela3[[#This Row],[Avançado]]*4</f>
        <v>47.761194029850742</v>
      </c>
      <c r="Q98" s="422">
        <f t="shared" si="7"/>
        <v>194.02985074626866</v>
      </c>
      <c r="R98" s="423">
        <f>Tabela3[[#This Row],[Participação]]*100</f>
        <v>87.01</v>
      </c>
      <c r="S98" s="422">
        <f t="shared" si="8"/>
        <v>194.02985074626866</v>
      </c>
      <c r="T98" s="421">
        <f>Tabela3[[#This Row],[Meta 2024]]*0.65</f>
        <v>123.89793</v>
      </c>
      <c r="U98" s="421">
        <v>190.6122</v>
      </c>
      <c r="V98" s="422">
        <f t="shared" si="9"/>
        <v>1.0512281817108793</v>
      </c>
      <c r="W98" s="424">
        <f t="shared" si="10"/>
        <v>1</v>
      </c>
    </row>
    <row r="99" spans="1:23">
      <c r="A99" s="418">
        <v>103</v>
      </c>
      <c r="B99" s="419" t="s">
        <v>195</v>
      </c>
      <c r="C99" s="418">
        <v>93</v>
      </c>
      <c r="D99" s="418">
        <v>30</v>
      </c>
      <c r="E99" s="418">
        <v>37</v>
      </c>
      <c r="F99" s="418">
        <v>30</v>
      </c>
      <c r="G99" s="418">
        <f t="shared" si="6"/>
        <v>190</v>
      </c>
      <c r="H99" s="420">
        <v>0.95</v>
      </c>
      <c r="I99" s="421">
        <f>Tabela3[[#This Row],[TOTAL DE ALUNOS ABAIXO DO BÁSICO]]/Tabela3[[#This Row],[TOTAL DE ALUNOS]]*100</f>
        <v>48.947368421052637</v>
      </c>
      <c r="J99" s="421">
        <f>Tabela3[[#This Row],[Abaixo do Básico]]*1</f>
        <v>48.947368421052637</v>
      </c>
      <c r="K99" s="421">
        <f>Tabela3[[#This Row],[TOTAL DE ALUNOS NO BÁSICO]]/Tabela3[[#This Row],[TOTAL DE ALUNOS]]*100</f>
        <v>15.789473684210526</v>
      </c>
      <c r="L99" s="421">
        <f>Tabela3[[#This Row],[Básico]]*2</f>
        <v>31.578947368421051</v>
      </c>
      <c r="M99" s="421">
        <f>Tabela3[[#This Row],[TOTAL DE ALUNOS ADEQUADO]]/Tabela3[[#This Row],[TOTAL DE ALUNOS]]*100</f>
        <v>19.473684210526315</v>
      </c>
      <c r="N99" s="421">
        <f>Tabela3[[#This Row],[Adequado]]*3</f>
        <v>58.421052631578945</v>
      </c>
      <c r="O99" s="421">
        <f>Tabela3[[#This Row],[TOTAL DE ALUNOS AVANÇADO]]/Tabela3[[#This Row],[TOTAL DE ALUNOS]]*100</f>
        <v>15.789473684210526</v>
      </c>
      <c r="P99" s="422">
        <f>Tabela3[[#This Row],[Avançado]]*4</f>
        <v>63.157894736842103</v>
      </c>
      <c r="Q99" s="422">
        <f t="shared" si="7"/>
        <v>202.10526315789474</v>
      </c>
      <c r="R99" s="423">
        <f>Tabela3[[#This Row],[Participação]]*100</f>
        <v>95</v>
      </c>
      <c r="S99" s="422">
        <f t="shared" si="8"/>
        <v>202.10526315789474</v>
      </c>
      <c r="T99" s="421">
        <f>Tabela3[[#This Row],[Meta 2024]]*0.65</f>
        <v>128.55725999999999</v>
      </c>
      <c r="U99" s="421">
        <v>197.78039999999999</v>
      </c>
      <c r="V99" s="422">
        <f t="shared" si="9"/>
        <v>1.0624771305938268</v>
      </c>
      <c r="W99" s="424">
        <f t="shared" si="10"/>
        <v>1</v>
      </c>
    </row>
    <row r="100" spans="1:23">
      <c r="A100" s="418">
        <v>104</v>
      </c>
      <c r="B100" s="419" t="s">
        <v>136</v>
      </c>
      <c r="C100" s="418">
        <v>36</v>
      </c>
      <c r="D100" s="418">
        <v>16</v>
      </c>
      <c r="E100" s="418">
        <v>37</v>
      </c>
      <c r="F100" s="418">
        <v>70</v>
      </c>
      <c r="G100" s="418">
        <f t="shared" si="6"/>
        <v>159</v>
      </c>
      <c r="H100" s="420">
        <v>0.88329999999999997</v>
      </c>
      <c r="I100" s="421">
        <f>Tabela3[[#This Row],[TOTAL DE ALUNOS ABAIXO DO BÁSICO]]/Tabela3[[#This Row],[TOTAL DE ALUNOS]]*100</f>
        <v>22.641509433962266</v>
      </c>
      <c r="J100" s="421">
        <f>Tabela3[[#This Row],[Abaixo do Básico]]*1</f>
        <v>22.641509433962266</v>
      </c>
      <c r="K100" s="421">
        <f>Tabela3[[#This Row],[TOTAL DE ALUNOS NO BÁSICO]]/Tabela3[[#This Row],[TOTAL DE ALUNOS]]*100</f>
        <v>10.062893081761008</v>
      </c>
      <c r="L100" s="421">
        <f>Tabela3[[#This Row],[Básico]]*2</f>
        <v>20.125786163522015</v>
      </c>
      <c r="M100" s="421">
        <f>Tabela3[[#This Row],[TOTAL DE ALUNOS ADEQUADO]]/Tabela3[[#This Row],[TOTAL DE ALUNOS]]*100</f>
        <v>23.270440251572328</v>
      </c>
      <c r="N100" s="421">
        <f>Tabela3[[#This Row],[Adequado]]*3</f>
        <v>69.811320754716988</v>
      </c>
      <c r="O100" s="421">
        <f>Tabela3[[#This Row],[TOTAL DE ALUNOS AVANÇADO]]/Tabela3[[#This Row],[TOTAL DE ALUNOS]]*100</f>
        <v>44.025157232704402</v>
      </c>
      <c r="P100" s="422">
        <f>Tabela3[[#This Row],[Avançado]]*4</f>
        <v>176.10062893081761</v>
      </c>
      <c r="Q100" s="422">
        <f t="shared" si="7"/>
        <v>288.67924528301887</v>
      </c>
      <c r="R100" s="423">
        <f>Tabela3[[#This Row],[Participação]]*100</f>
        <v>88.33</v>
      </c>
      <c r="S100" s="422">
        <f t="shared" si="8"/>
        <v>288.67924528301887</v>
      </c>
      <c r="T100" s="421">
        <f>Tabela3[[#This Row],[Meta 2024]]*0.65</f>
        <v>161.390255</v>
      </c>
      <c r="U100" s="421">
        <v>248.2927</v>
      </c>
      <c r="V100" s="422">
        <f t="shared" si="9"/>
        <v>1.464734280871141</v>
      </c>
      <c r="W100" s="424">
        <f t="shared" si="10"/>
        <v>1</v>
      </c>
    </row>
    <row r="101" spans="1:23">
      <c r="A101" s="418">
        <v>107</v>
      </c>
      <c r="B101" s="419" t="s">
        <v>156</v>
      </c>
      <c r="C101" s="418">
        <v>60</v>
      </c>
      <c r="D101" s="418">
        <v>21</v>
      </c>
      <c r="E101" s="418">
        <v>25</v>
      </c>
      <c r="F101" s="418">
        <v>16</v>
      </c>
      <c r="G101" s="418">
        <f t="shared" si="6"/>
        <v>122</v>
      </c>
      <c r="H101" s="420">
        <v>0.8841</v>
      </c>
      <c r="I101" s="421">
        <f>Tabela3[[#This Row],[TOTAL DE ALUNOS ABAIXO DO BÁSICO]]/Tabela3[[#This Row],[TOTAL DE ALUNOS]]*100</f>
        <v>49.180327868852459</v>
      </c>
      <c r="J101" s="421">
        <f>Tabela3[[#This Row],[Abaixo do Básico]]*1</f>
        <v>49.180327868852459</v>
      </c>
      <c r="K101" s="421">
        <f>Tabela3[[#This Row],[TOTAL DE ALUNOS NO BÁSICO]]/Tabela3[[#This Row],[TOTAL DE ALUNOS]]*100</f>
        <v>17.21311475409836</v>
      </c>
      <c r="L101" s="421">
        <f>Tabela3[[#This Row],[Básico]]*2</f>
        <v>34.42622950819672</v>
      </c>
      <c r="M101" s="421">
        <f>Tabela3[[#This Row],[TOTAL DE ALUNOS ADEQUADO]]/Tabela3[[#This Row],[TOTAL DE ALUNOS]]*100</f>
        <v>20.491803278688526</v>
      </c>
      <c r="N101" s="421">
        <f>Tabela3[[#This Row],[Adequado]]*3</f>
        <v>61.47540983606558</v>
      </c>
      <c r="O101" s="421">
        <f>Tabela3[[#This Row],[TOTAL DE ALUNOS AVANÇADO]]/Tabela3[[#This Row],[TOTAL DE ALUNOS]]*100</f>
        <v>13.114754098360656</v>
      </c>
      <c r="P101" s="422">
        <f>Tabela3[[#This Row],[Avançado]]*4</f>
        <v>52.459016393442624</v>
      </c>
      <c r="Q101" s="422">
        <f t="shared" si="7"/>
        <v>197.54098360655738</v>
      </c>
      <c r="R101" s="423">
        <f>Tabela3[[#This Row],[Participação]]*100</f>
        <v>88.41</v>
      </c>
      <c r="S101" s="422">
        <f t="shared" si="8"/>
        <v>197.54098360655738</v>
      </c>
      <c r="T101" s="421">
        <f>Tabela3[[#This Row],[Meta 2024]]*0.65</f>
        <v>140.42950999999999</v>
      </c>
      <c r="U101" s="421">
        <v>216.0454</v>
      </c>
      <c r="V101" s="422">
        <f t="shared" si="9"/>
        <v>0.75528402306125575</v>
      </c>
      <c r="W101" s="424">
        <f t="shared" si="10"/>
        <v>0.75528402306125575</v>
      </c>
    </row>
    <row r="102" spans="1:23">
      <c r="A102" s="418">
        <v>108</v>
      </c>
      <c r="B102" s="419" t="s">
        <v>71</v>
      </c>
      <c r="C102" s="418">
        <v>89</v>
      </c>
      <c r="D102" s="418">
        <v>31</v>
      </c>
      <c r="E102" s="418">
        <v>37</v>
      </c>
      <c r="F102" s="418">
        <v>28</v>
      </c>
      <c r="G102" s="418">
        <f t="shared" si="6"/>
        <v>185</v>
      </c>
      <c r="H102" s="420">
        <v>0.82589999999999997</v>
      </c>
      <c r="I102" s="421">
        <f>Tabela3[[#This Row],[TOTAL DE ALUNOS ABAIXO DO BÁSICO]]/Tabela3[[#This Row],[TOTAL DE ALUNOS]]*100</f>
        <v>48.108108108108112</v>
      </c>
      <c r="J102" s="421">
        <f>Tabela3[[#This Row],[Abaixo do Básico]]*1</f>
        <v>48.108108108108112</v>
      </c>
      <c r="K102" s="421">
        <f>Tabela3[[#This Row],[TOTAL DE ALUNOS NO BÁSICO]]/Tabela3[[#This Row],[TOTAL DE ALUNOS]]*100</f>
        <v>16.756756756756758</v>
      </c>
      <c r="L102" s="421">
        <f>Tabela3[[#This Row],[Básico]]*2</f>
        <v>33.513513513513516</v>
      </c>
      <c r="M102" s="421">
        <f>Tabela3[[#This Row],[TOTAL DE ALUNOS ADEQUADO]]/Tabela3[[#This Row],[TOTAL DE ALUNOS]]*100</f>
        <v>20</v>
      </c>
      <c r="N102" s="421">
        <f>Tabela3[[#This Row],[Adequado]]*3</f>
        <v>60</v>
      </c>
      <c r="O102" s="421">
        <f>Tabela3[[#This Row],[TOTAL DE ALUNOS AVANÇADO]]/Tabela3[[#This Row],[TOTAL DE ALUNOS]]*100</f>
        <v>15.135135135135137</v>
      </c>
      <c r="P102" s="422">
        <f>Tabela3[[#This Row],[Avançado]]*4</f>
        <v>60.540540540540547</v>
      </c>
      <c r="Q102" s="422">
        <f t="shared" si="7"/>
        <v>202.16216216216216</v>
      </c>
      <c r="R102" s="423">
        <f>Tabela3[[#This Row],[Participação]]*100</f>
        <v>82.59</v>
      </c>
      <c r="S102" s="422">
        <f t="shared" si="8"/>
        <v>202.16216216216216</v>
      </c>
      <c r="T102" s="421">
        <f>Tabela3[[#This Row],[Meta 2024]]*0.65</f>
        <v>131.40224499999999</v>
      </c>
      <c r="U102" s="421">
        <v>202.15729999999999</v>
      </c>
      <c r="V102" s="422">
        <f t="shared" si="9"/>
        <v>1.0000687182302688</v>
      </c>
      <c r="W102" s="424">
        <f t="shared" si="10"/>
        <v>1</v>
      </c>
    </row>
    <row r="103" spans="1:23">
      <c r="A103" s="418">
        <v>110</v>
      </c>
      <c r="B103" s="419" t="s">
        <v>129</v>
      </c>
      <c r="C103" s="418">
        <v>45</v>
      </c>
      <c r="D103" s="418">
        <v>17</v>
      </c>
      <c r="E103" s="418">
        <v>34</v>
      </c>
      <c r="F103" s="418">
        <v>40</v>
      </c>
      <c r="G103" s="418">
        <f t="shared" si="6"/>
        <v>136</v>
      </c>
      <c r="H103" s="420">
        <v>0.89470000000000005</v>
      </c>
      <c r="I103" s="421">
        <f>Tabela3[[#This Row],[TOTAL DE ALUNOS ABAIXO DO BÁSICO]]/Tabela3[[#This Row],[TOTAL DE ALUNOS]]*100</f>
        <v>33.088235294117645</v>
      </c>
      <c r="J103" s="421">
        <f>Tabela3[[#This Row],[Abaixo do Básico]]*1</f>
        <v>33.088235294117645</v>
      </c>
      <c r="K103" s="421">
        <f>Tabela3[[#This Row],[TOTAL DE ALUNOS NO BÁSICO]]/Tabela3[[#This Row],[TOTAL DE ALUNOS]]*100</f>
        <v>12.5</v>
      </c>
      <c r="L103" s="421">
        <f>Tabela3[[#This Row],[Básico]]*2</f>
        <v>25</v>
      </c>
      <c r="M103" s="421">
        <f>Tabela3[[#This Row],[TOTAL DE ALUNOS ADEQUADO]]/Tabela3[[#This Row],[TOTAL DE ALUNOS]]*100</f>
        <v>25</v>
      </c>
      <c r="N103" s="421">
        <f>Tabela3[[#This Row],[Adequado]]*3</f>
        <v>75</v>
      </c>
      <c r="O103" s="421">
        <f>Tabela3[[#This Row],[TOTAL DE ALUNOS AVANÇADO]]/Tabela3[[#This Row],[TOTAL DE ALUNOS]]*100</f>
        <v>29.411764705882355</v>
      </c>
      <c r="P103" s="422">
        <f>Tabela3[[#This Row],[Avançado]]*4</f>
        <v>117.64705882352942</v>
      </c>
      <c r="Q103" s="422">
        <f t="shared" si="7"/>
        <v>250.73529411764707</v>
      </c>
      <c r="R103" s="423">
        <f>Tabela3[[#This Row],[Participação]]*100</f>
        <v>89.47</v>
      </c>
      <c r="S103" s="422">
        <f t="shared" si="8"/>
        <v>250.73529411764707</v>
      </c>
      <c r="T103" s="421">
        <f>Tabela3[[#This Row],[Meta 2024]]*0.65</f>
        <v>165.36013000000003</v>
      </c>
      <c r="U103" s="421">
        <v>254.40020000000001</v>
      </c>
      <c r="V103" s="422">
        <f t="shared" si="9"/>
        <v>0.95883981355413417</v>
      </c>
      <c r="W103" s="424">
        <f t="shared" si="10"/>
        <v>0.95883981355413417</v>
      </c>
    </row>
    <row r="104" spans="1:23">
      <c r="A104" s="418">
        <v>115</v>
      </c>
      <c r="B104" s="419" t="s">
        <v>23</v>
      </c>
      <c r="C104" s="418">
        <v>58</v>
      </c>
      <c r="D104" s="418">
        <v>31</v>
      </c>
      <c r="E104" s="418">
        <v>45</v>
      </c>
      <c r="F104" s="418">
        <v>48</v>
      </c>
      <c r="G104" s="418">
        <f t="shared" si="6"/>
        <v>182</v>
      </c>
      <c r="H104" s="420">
        <v>0.94299999999999995</v>
      </c>
      <c r="I104" s="421">
        <f>Tabela3[[#This Row],[TOTAL DE ALUNOS ABAIXO DO BÁSICO]]/Tabela3[[#This Row],[TOTAL DE ALUNOS]]*100</f>
        <v>31.868131868131865</v>
      </c>
      <c r="J104" s="421">
        <f>Tabela3[[#This Row],[Abaixo do Básico]]*1</f>
        <v>31.868131868131865</v>
      </c>
      <c r="K104" s="421">
        <f>Tabela3[[#This Row],[TOTAL DE ALUNOS NO BÁSICO]]/Tabela3[[#This Row],[TOTAL DE ALUNOS]]*100</f>
        <v>17.032967032967033</v>
      </c>
      <c r="L104" s="421">
        <f>Tabela3[[#This Row],[Básico]]*2</f>
        <v>34.065934065934066</v>
      </c>
      <c r="M104" s="421">
        <f>Tabela3[[#This Row],[TOTAL DE ALUNOS ADEQUADO]]/Tabela3[[#This Row],[TOTAL DE ALUNOS]]*100</f>
        <v>24.725274725274726</v>
      </c>
      <c r="N104" s="421">
        <f>Tabela3[[#This Row],[Adequado]]*3</f>
        <v>74.175824175824175</v>
      </c>
      <c r="O104" s="421">
        <f>Tabela3[[#This Row],[TOTAL DE ALUNOS AVANÇADO]]/Tabela3[[#This Row],[TOTAL DE ALUNOS]]*100</f>
        <v>26.373626373626376</v>
      </c>
      <c r="P104" s="422">
        <f>Tabela3[[#This Row],[Avançado]]*4</f>
        <v>105.4945054945055</v>
      </c>
      <c r="Q104" s="422">
        <f t="shared" si="7"/>
        <v>245.60439560439562</v>
      </c>
      <c r="R104" s="423">
        <f>Tabela3[[#This Row],[Participação]]*100</f>
        <v>94.3</v>
      </c>
      <c r="S104" s="422">
        <f t="shared" si="8"/>
        <v>245.60439560439562</v>
      </c>
      <c r="T104" s="421">
        <f>Tabela3[[#This Row],[Meta 2024]]*0.65</f>
        <v>164.98371500000002</v>
      </c>
      <c r="U104" s="421">
        <v>253.8211</v>
      </c>
      <c r="V104" s="422">
        <f t="shared" si="9"/>
        <v>0.90750848423099817</v>
      </c>
      <c r="W104" s="424">
        <f t="shared" si="10"/>
        <v>0.90750848423099817</v>
      </c>
    </row>
    <row r="105" spans="1:23">
      <c r="A105" s="418">
        <v>116</v>
      </c>
      <c r="B105" s="419" t="s">
        <v>121</v>
      </c>
      <c r="C105" s="418">
        <v>8</v>
      </c>
      <c r="D105" s="418">
        <v>8</v>
      </c>
      <c r="E105" s="418">
        <v>7</v>
      </c>
      <c r="F105" s="418">
        <v>11</v>
      </c>
      <c r="G105" s="418">
        <f t="shared" si="6"/>
        <v>34</v>
      </c>
      <c r="H105" s="420">
        <v>1</v>
      </c>
      <c r="I105" s="421">
        <f>Tabela3[[#This Row],[TOTAL DE ALUNOS ABAIXO DO BÁSICO]]/Tabela3[[#This Row],[TOTAL DE ALUNOS]]*100</f>
        <v>23.52941176470588</v>
      </c>
      <c r="J105" s="421">
        <f>Tabela3[[#This Row],[Abaixo do Básico]]*1</f>
        <v>23.52941176470588</v>
      </c>
      <c r="K105" s="421">
        <f>Tabela3[[#This Row],[TOTAL DE ALUNOS NO BÁSICO]]/Tabela3[[#This Row],[TOTAL DE ALUNOS]]*100</f>
        <v>23.52941176470588</v>
      </c>
      <c r="L105" s="421">
        <f>Tabela3[[#This Row],[Básico]]*2</f>
        <v>47.058823529411761</v>
      </c>
      <c r="M105" s="421">
        <f>Tabela3[[#This Row],[TOTAL DE ALUNOS ADEQUADO]]/Tabela3[[#This Row],[TOTAL DE ALUNOS]]*100</f>
        <v>20.588235294117645</v>
      </c>
      <c r="N105" s="421">
        <f>Tabela3[[#This Row],[Adequado]]*3</f>
        <v>61.764705882352935</v>
      </c>
      <c r="O105" s="421">
        <f>Tabela3[[#This Row],[TOTAL DE ALUNOS AVANÇADO]]/Tabela3[[#This Row],[TOTAL DE ALUNOS]]*100</f>
        <v>32.352941176470587</v>
      </c>
      <c r="P105" s="422">
        <f>Tabela3[[#This Row],[Avançado]]*4</f>
        <v>129.41176470588235</v>
      </c>
      <c r="Q105" s="422">
        <f t="shared" si="7"/>
        <v>261.76470588235293</v>
      </c>
      <c r="R105" s="423">
        <f>Tabela3[[#This Row],[Participação]]*100</f>
        <v>100</v>
      </c>
      <c r="S105" s="422">
        <f t="shared" si="8"/>
        <v>261.76470588235293</v>
      </c>
      <c r="T105" s="421">
        <f>Tabela3[[#This Row],[Meta 2024]]*0.65</f>
        <v>145.30373</v>
      </c>
      <c r="U105" s="421">
        <v>223.54419999999999</v>
      </c>
      <c r="V105" s="422">
        <f t="shared" si="9"/>
        <v>1.4885004637926249</v>
      </c>
      <c r="W105" s="424">
        <f t="shared" si="10"/>
        <v>1</v>
      </c>
    </row>
    <row r="106" spans="1:23">
      <c r="A106" s="418">
        <v>117</v>
      </c>
      <c r="B106" s="419" t="s">
        <v>53</v>
      </c>
      <c r="C106" s="418">
        <v>73</v>
      </c>
      <c r="D106" s="418">
        <v>38</v>
      </c>
      <c r="E106" s="418">
        <v>56</v>
      </c>
      <c r="F106" s="418">
        <v>52</v>
      </c>
      <c r="G106" s="418">
        <f t="shared" si="6"/>
        <v>219</v>
      </c>
      <c r="H106" s="420">
        <v>0.9163</v>
      </c>
      <c r="I106" s="421">
        <f>Tabela3[[#This Row],[TOTAL DE ALUNOS ABAIXO DO BÁSICO]]/Tabela3[[#This Row],[TOTAL DE ALUNOS]]*100</f>
        <v>33.333333333333329</v>
      </c>
      <c r="J106" s="421">
        <f>Tabela3[[#This Row],[Abaixo do Básico]]*1</f>
        <v>33.333333333333329</v>
      </c>
      <c r="K106" s="421">
        <f>Tabela3[[#This Row],[TOTAL DE ALUNOS NO BÁSICO]]/Tabela3[[#This Row],[TOTAL DE ALUNOS]]*100</f>
        <v>17.351598173515981</v>
      </c>
      <c r="L106" s="421">
        <f>Tabela3[[#This Row],[Básico]]*2</f>
        <v>34.703196347031962</v>
      </c>
      <c r="M106" s="421">
        <f>Tabela3[[#This Row],[TOTAL DE ALUNOS ADEQUADO]]/Tabela3[[#This Row],[TOTAL DE ALUNOS]]*100</f>
        <v>25.570776255707763</v>
      </c>
      <c r="N106" s="421">
        <f>Tabela3[[#This Row],[Adequado]]*3</f>
        <v>76.712328767123296</v>
      </c>
      <c r="O106" s="421">
        <f>Tabela3[[#This Row],[TOTAL DE ALUNOS AVANÇADO]]/Tabela3[[#This Row],[TOTAL DE ALUNOS]]*100</f>
        <v>23.74429223744292</v>
      </c>
      <c r="P106" s="422">
        <f>Tabela3[[#This Row],[Avançado]]*4</f>
        <v>94.977168949771681</v>
      </c>
      <c r="Q106" s="422">
        <f t="shared" si="7"/>
        <v>239.72602739726028</v>
      </c>
      <c r="R106" s="423">
        <f>Tabela3[[#This Row],[Participação]]*100</f>
        <v>91.63</v>
      </c>
      <c r="S106" s="422">
        <f t="shared" si="8"/>
        <v>239.72602739726028</v>
      </c>
      <c r="T106" s="421">
        <f>Tabela3[[#This Row],[Meta 2024]]*0.65</f>
        <v>150.02273000000002</v>
      </c>
      <c r="U106" s="421">
        <v>230.80420000000001</v>
      </c>
      <c r="V106" s="422">
        <f t="shared" si="9"/>
        <v>1.1104439842114817</v>
      </c>
      <c r="W106" s="424">
        <f t="shared" si="10"/>
        <v>1</v>
      </c>
    </row>
    <row r="107" spans="1:23">
      <c r="A107" s="418">
        <v>118</v>
      </c>
      <c r="B107" s="419" t="s">
        <v>49</v>
      </c>
      <c r="C107" s="418">
        <v>36</v>
      </c>
      <c r="D107" s="418">
        <v>3</v>
      </c>
      <c r="E107" s="418">
        <v>16</v>
      </c>
      <c r="F107" s="418">
        <v>15</v>
      </c>
      <c r="G107" s="418">
        <f t="shared" si="6"/>
        <v>70</v>
      </c>
      <c r="H107" s="420">
        <v>0.95889999999999997</v>
      </c>
      <c r="I107" s="421">
        <f>Tabela3[[#This Row],[TOTAL DE ALUNOS ABAIXO DO BÁSICO]]/Tabela3[[#This Row],[TOTAL DE ALUNOS]]*100</f>
        <v>51.428571428571423</v>
      </c>
      <c r="J107" s="421">
        <f>Tabela3[[#This Row],[Abaixo do Básico]]*1</f>
        <v>51.428571428571423</v>
      </c>
      <c r="K107" s="421">
        <f>Tabela3[[#This Row],[TOTAL DE ALUNOS NO BÁSICO]]/Tabela3[[#This Row],[TOTAL DE ALUNOS]]*100</f>
        <v>4.2857142857142856</v>
      </c>
      <c r="L107" s="421">
        <f>Tabela3[[#This Row],[Básico]]*2</f>
        <v>8.5714285714285712</v>
      </c>
      <c r="M107" s="421">
        <f>Tabela3[[#This Row],[TOTAL DE ALUNOS ADEQUADO]]/Tabela3[[#This Row],[TOTAL DE ALUNOS]]*100</f>
        <v>22.857142857142858</v>
      </c>
      <c r="N107" s="421">
        <f>Tabela3[[#This Row],[Adequado]]*3</f>
        <v>68.571428571428569</v>
      </c>
      <c r="O107" s="421">
        <f>Tabela3[[#This Row],[TOTAL DE ALUNOS AVANÇADO]]/Tabela3[[#This Row],[TOTAL DE ALUNOS]]*100</f>
        <v>21.428571428571427</v>
      </c>
      <c r="P107" s="422">
        <f>Tabela3[[#This Row],[Avançado]]*4</f>
        <v>85.714285714285708</v>
      </c>
      <c r="Q107" s="422">
        <f t="shared" si="7"/>
        <v>214.28571428571428</v>
      </c>
      <c r="R107" s="423">
        <f>Tabela3[[#This Row],[Participação]]*100</f>
        <v>95.89</v>
      </c>
      <c r="S107" s="422">
        <f t="shared" si="8"/>
        <v>214.28571428571428</v>
      </c>
      <c r="T107" s="421">
        <f>Tabela3[[#This Row],[Meta 2024]]*0.65</f>
        <v>122.64258500000001</v>
      </c>
      <c r="U107" s="421">
        <v>188.68090000000001</v>
      </c>
      <c r="V107" s="422">
        <f t="shared" si="9"/>
        <v>1.3877266445352863</v>
      </c>
      <c r="W107" s="424">
        <f t="shared" si="10"/>
        <v>1</v>
      </c>
    </row>
    <row r="108" spans="1:23">
      <c r="A108" s="418">
        <v>122</v>
      </c>
      <c r="B108" s="419" t="s">
        <v>85</v>
      </c>
      <c r="C108" s="418">
        <v>69</v>
      </c>
      <c r="D108" s="418">
        <v>37</v>
      </c>
      <c r="E108" s="418">
        <v>47</v>
      </c>
      <c r="F108" s="418">
        <v>35</v>
      </c>
      <c r="G108" s="418">
        <f t="shared" si="6"/>
        <v>188</v>
      </c>
      <c r="H108" s="420">
        <v>0.8952</v>
      </c>
      <c r="I108" s="421">
        <f>Tabela3[[#This Row],[TOTAL DE ALUNOS ABAIXO DO BÁSICO]]/Tabela3[[#This Row],[TOTAL DE ALUNOS]]*100</f>
        <v>36.702127659574465</v>
      </c>
      <c r="J108" s="421">
        <f>Tabela3[[#This Row],[Abaixo do Básico]]*1</f>
        <v>36.702127659574465</v>
      </c>
      <c r="K108" s="421">
        <f>Tabela3[[#This Row],[TOTAL DE ALUNOS NO BÁSICO]]/Tabela3[[#This Row],[TOTAL DE ALUNOS]]*100</f>
        <v>19.680851063829788</v>
      </c>
      <c r="L108" s="421">
        <f>Tabela3[[#This Row],[Básico]]*2</f>
        <v>39.361702127659576</v>
      </c>
      <c r="M108" s="421">
        <f>Tabela3[[#This Row],[TOTAL DE ALUNOS ADEQUADO]]/Tabela3[[#This Row],[TOTAL DE ALUNOS]]*100</f>
        <v>25</v>
      </c>
      <c r="N108" s="421">
        <f>Tabela3[[#This Row],[Adequado]]*3</f>
        <v>75</v>
      </c>
      <c r="O108" s="421">
        <f>Tabela3[[#This Row],[TOTAL DE ALUNOS AVANÇADO]]/Tabela3[[#This Row],[TOTAL DE ALUNOS]]*100</f>
        <v>18.617021276595743</v>
      </c>
      <c r="P108" s="422">
        <f>Tabela3[[#This Row],[Avançado]]*4</f>
        <v>74.468085106382972</v>
      </c>
      <c r="Q108" s="422">
        <f t="shared" si="7"/>
        <v>225.53191489361703</v>
      </c>
      <c r="R108" s="423">
        <f>Tabela3[[#This Row],[Participação]]*100</f>
        <v>89.52</v>
      </c>
      <c r="S108" s="422">
        <f t="shared" si="8"/>
        <v>225.53191489361703</v>
      </c>
      <c r="T108" s="421">
        <f>Tabela3[[#This Row],[Meta 2024]]*0.65</f>
        <v>134.38379500000002</v>
      </c>
      <c r="U108" s="421">
        <v>206.74430000000001</v>
      </c>
      <c r="V108" s="422">
        <f t="shared" si="9"/>
        <v>1.2596390792686842</v>
      </c>
      <c r="W108" s="424">
        <f t="shared" si="10"/>
        <v>1</v>
      </c>
    </row>
    <row r="109" spans="1:23">
      <c r="A109" s="418">
        <v>123</v>
      </c>
      <c r="B109" s="419" t="s">
        <v>5</v>
      </c>
      <c r="C109" s="418">
        <v>48</v>
      </c>
      <c r="D109" s="418">
        <v>15</v>
      </c>
      <c r="E109" s="418">
        <v>31</v>
      </c>
      <c r="F109" s="418">
        <v>20</v>
      </c>
      <c r="G109" s="418">
        <f t="shared" si="6"/>
        <v>114</v>
      </c>
      <c r="H109" s="420">
        <v>0.98280000000000001</v>
      </c>
      <c r="I109" s="421">
        <f>Tabela3[[#This Row],[TOTAL DE ALUNOS ABAIXO DO BÁSICO]]/Tabela3[[#This Row],[TOTAL DE ALUNOS]]*100</f>
        <v>42.105263157894733</v>
      </c>
      <c r="J109" s="421">
        <f>Tabela3[[#This Row],[Abaixo do Básico]]*1</f>
        <v>42.105263157894733</v>
      </c>
      <c r="K109" s="421">
        <f>Tabela3[[#This Row],[TOTAL DE ALUNOS NO BÁSICO]]/Tabela3[[#This Row],[TOTAL DE ALUNOS]]*100</f>
        <v>13.157894736842104</v>
      </c>
      <c r="L109" s="421">
        <f>Tabela3[[#This Row],[Básico]]*2</f>
        <v>26.315789473684209</v>
      </c>
      <c r="M109" s="421">
        <f>Tabela3[[#This Row],[TOTAL DE ALUNOS ADEQUADO]]/Tabela3[[#This Row],[TOTAL DE ALUNOS]]*100</f>
        <v>27.192982456140353</v>
      </c>
      <c r="N109" s="421">
        <f>Tabela3[[#This Row],[Adequado]]*3</f>
        <v>81.578947368421055</v>
      </c>
      <c r="O109" s="421">
        <f>Tabela3[[#This Row],[TOTAL DE ALUNOS AVANÇADO]]/Tabela3[[#This Row],[TOTAL DE ALUNOS]]*100</f>
        <v>17.543859649122805</v>
      </c>
      <c r="P109" s="422">
        <f>Tabela3[[#This Row],[Avançado]]*4</f>
        <v>70.175438596491219</v>
      </c>
      <c r="Q109" s="422">
        <f t="shared" si="7"/>
        <v>220.17543859649123</v>
      </c>
      <c r="R109" s="423">
        <f>Tabela3[[#This Row],[Participação]]*100</f>
        <v>98.28</v>
      </c>
      <c r="S109" s="422">
        <f t="shared" si="8"/>
        <v>220.17543859649123</v>
      </c>
      <c r="T109" s="421">
        <f>Tabela3[[#This Row],[Meta 2024]]*0.65</f>
        <v>151.94601500000002</v>
      </c>
      <c r="U109" s="421">
        <v>233.76310000000001</v>
      </c>
      <c r="V109" s="422">
        <f t="shared" si="9"/>
        <v>0.83392635653655001</v>
      </c>
      <c r="W109" s="424">
        <f t="shared" si="10"/>
        <v>0.83392635653655001</v>
      </c>
    </row>
    <row r="110" spans="1:23">
      <c r="A110" s="418">
        <v>124</v>
      </c>
      <c r="B110" s="419" t="s">
        <v>77</v>
      </c>
      <c r="C110" s="418">
        <v>40</v>
      </c>
      <c r="D110" s="418">
        <v>26</v>
      </c>
      <c r="E110" s="418">
        <v>33</v>
      </c>
      <c r="F110" s="418">
        <v>23</v>
      </c>
      <c r="G110" s="418">
        <f t="shared" si="6"/>
        <v>122</v>
      </c>
      <c r="H110" s="420">
        <v>0.91039999999999999</v>
      </c>
      <c r="I110" s="421">
        <f>Tabela3[[#This Row],[TOTAL DE ALUNOS ABAIXO DO BÁSICO]]/Tabela3[[#This Row],[TOTAL DE ALUNOS]]*100</f>
        <v>32.786885245901637</v>
      </c>
      <c r="J110" s="421">
        <f>Tabela3[[#This Row],[Abaixo do Básico]]*1</f>
        <v>32.786885245901637</v>
      </c>
      <c r="K110" s="421">
        <f>Tabela3[[#This Row],[TOTAL DE ALUNOS NO BÁSICO]]/Tabela3[[#This Row],[TOTAL DE ALUNOS]]*100</f>
        <v>21.311475409836063</v>
      </c>
      <c r="L110" s="421">
        <f>Tabela3[[#This Row],[Básico]]*2</f>
        <v>42.622950819672127</v>
      </c>
      <c r="M110" s="421">
        <f>Tabela3[[#This Row],[TOTAL DE ALUNOS ADEQUADO]]/Tabela3[[#This Row],[TOTAL DE ALUNOS]]*100</f>
        <v>27.049180327868854</v>
      </c>
      <c r="N110" s="421">
        <f>Tabela3[[#This Row],[Adequado]]*3</f>
        <v>81.147540983606561</v>
      </c>
      <c r="O110" s="421">
        <f>Tabela3[[#This Row],[TOTAL DE ALUNOS AVANÇADO]]/Tabela3[[#This Row],[TOTAL DE ALUNOS]]*100</f>
        <v>18.852459016393443</v>
      </c>
      <c r="P110" s="422">
        <f>Tabela3[[#This Row],[Avançado]]*4</f>
        <v>75.409836065573771</v>
      </c>
      <c r="Q110" s="422">
        <f t="shared" si="7"/>
        <v>231.96721311475409</v>
      </c>
      <c r="R110" s="423">
        <f>Tabela3[[#This Row],[Participação]]*100</f>
        <v>91.039999999999992</v>
      </c>
      <c r="S110" s="422">
        <f t="shared" si="8"/>
        <v>231.96721311475409</v>
      </c>
      <c r="T110" s="421">
        <f>Tabela3[[#This Row],[Meta 2024]]*0.65</f>
        <v>143.28574</v>
      </c>
      <c r="U110" s="421">
        <v>220.43960000000001</v>
      </c>
      <c r="V110" s="422">
        <f t="shared" si="9"/>
        <v>1.1494107114634844</v>
      </c>
      <c r="W110" s="424">
        <f t="shared" si="10"/>
        <v>1</v>
      </c>
    </row>
    <row r="111" spans="1:23">
      <c r="A111" s="418">
        <v>125</v>
      </c>
      <c r="B111" s="419" t="s">
        <v>145</v>
      </c>
      <c r="C111" s="418">
        <v>92</v>
      </c>
      <c r="D111" s="418">
        <v>21</v>
      </c>
      <c r="E111" s="418">
        <v>52</v>
      </c>
      <c r="F111" s="418">
        <v>58</v>
      </c>
      <c r="G111" s="418">
        <f t="shared" si="6"/>
        <v>223</v>
      </c>
      <c r="H111" s="420">
        <v>0.88139999999999996</v>
      </c>
      <c r="I111" s="421">
        <f>Tabela3[[#This Row],[TOTAL DE ALUNOS ABAIXO DO BÁSICO]]/Tabela3[[#This Row],[TOTAL DE ALUNOS]]*100</f>
        <v>41.255605381165921</v>
      </c>
      <c r="J111" s="421">
        <f>Tabela3[[#This Row],[Abaixo do Básico]]*1</f>
        <v>41.255605381165921</v>
      </c>
      <c r="K111" s="421">
        <f>Tabela3[[#This Row],[TOTAL DE ALUNOS NO BÁSICO]]/Tabela3[[#This Row],[TOTAL DE ALUNOS]]*100</f>
        <v>9.4170403587443943</v>
      </c>
      <c r="L111" s="421">
        <f>Tabela3[[#This Row],[Básico]]*2</f>
        <v>18.834080717488789</v>
      </c>
      <c r="M111" s="421">
        <f>Tabela3[[#This Row],[TOTAL DE ALUNOS ADEQUADO]]/Tabela3[[#This Row],[TOTAL DE ALUNOS]]*100</f>
        <v>23.318385650224215</v>
      </c>
      <c r="N111" s="421">
        <f>Tabela3[[#This Row],[Adequado]]*3</f>
        <v>69.955156950672645</v>
      </c>
      <c r="O111" s="421">
        <f>Tabela3[[#This Row],[TOTAL DE ALUNOS AVANÇADO]]/Tabela3[[#This Row],[TOTAL DE ALUNOS]]*100</f>
        <v>26.00896860986547</v>
      </c>
      <c r="P111" s="422">
        <f>Tabela3[[#This Row],[Avançado]]*4</f>
        <v>104.03587443946188</v>
      </c>
      <c r="Q111" s="422">
        <f t="shared" si="7"/>
        <v>234.08071748878925</v>
      </c>
      <c r="R111" s="423">
        <f>Tabela3[[#This Row],[Participação]]*100</f>
        <v>88.14</v>
      </c>
      <c r="S111" s="422">
        <f t="shared" si="8"/>
        <v>234.08071748878925</v>
      </c>
      <c r="T111" s="421">
        <f>Tabela3[[#This Row],[Meta 2024]]*0.65</f>
        <v>148.41593</v>
      </c>
      <c r="U111" s="421">
        <v>228.3322</v>
      </c>
      <c r="V111" s="422">
        <f t="shared" si="9"/>
        <v>1.0719317541820863</v>
      </c>
      <c r="W111" s="424">
        <f t="shared" si="10"/>
        <v>1</v>
      </c>
    </row>
    <row r="112" spans="1:23">
      <c r="A112" s="418">
        <v>128</v>
      </c>
      <c r="B112" s="419" t="s">
        <v>118</v>
      </c>
      <c r="C112" s="418">
        <v>29</v>
      </c>
      <c r="D112" s="418">
        <v>15</v>
      </c>
      <c r="E112" s="418">
        <v>28</v>
      </c>
      <c r="F112" s="418">
        <v>34</v>
      </c>
      <c r="G112" s="418">
        <f t="shared" si="6"/>
        <v>106</v>
      </c>
      <c r="H112" s="420">
        <v>0.98150000000000004</v>
      </c>
      <c r="I112" s="421">
        <f>Tabela3[[#This Row],[TOTAL DE ALUNOS ABAIXO DO BÁSICO]]/Tabela3[[#This Row],[TOTAL DE ALUNOS]]*100</f>
        <v>27.358490566037734</v>
      </c>
      <c r="J112" s="421">
        <f>Tabela3[[#This Row],[Abaixo do Básico]]*1</f>
        <v>27.358490566037734</v>
      </c>
      <c r="K112" s="421">
        <f>Tabela3[[#This Row],[TOTAL DE ALUNOS NO BÁSICO]]/Tabela3[[#This Row],[TOTAL DE ALUNOS]]*100</f>
        <v>14.150943396226415</v>
      </c>
      <c r="L112" s="421">
        <f>Tabela3[[#This Row],[Básico]]*2</f>
        <v>28.30188679245283</v>
      </c>
      <c r="M112" s="421">
        <f>Tabela3[[#This Row],[TOTAL DE ALUNOS ADEQUADO]]/Tabela3[[#This Row],[TOTAL DE ALUNOS]]*100</f>
        <v>26.415094339622641</v>
      </c>
      <c r="N112" s="421">
        <f>Tabela3[[#This Row],[Adequado]]*3</f>
        <v>79.245283018867923</v>
      </c>
      <c r="O112" s="421">
        <f>Tabela3[[#This Row],[TOTAL DE ALUNOS AVANÇADO]]/Tabela3[[#This Row],[TOTAL DE ALUNOS]]*100</f>
        <v>32.075471698113205</v>
      </c>
      <c r="P112" s="422">
        <f>Tabela3[[#This Row],[Avançado]]*4</f>
        <v>128.30188679245282</v>
      </c>
      <c r="Q112" s="422">
        <f t="shared" si="7"/>
        <v>263.20754716981128</v>
      </c>
      <c r="R112" s="423">
        <f>Tabela3[[#This Row],[Participação]]*100</f>
        <v>98.15</v>
      </c>
      <c r="S112" s="422">
        <f t="shared" si="8"/>
        <v>263.20754716981128</v>
      </c>
      <c r="T112" s="421">
        <f>Tabela3[[#This Row],[Meta 2024]]*0.65</f>
        <v>145.80007000000001</v>
      </c>
      <c r="U112" s="421">
        <v>224.30779999999999</v>
      </c>
      <c r="V112" s="422">
        <f t="shared" si="9"/>
        <v>1.4954893890042587</v>
      </c>
      <c r="W112" s="424">
        <f t="shared" si="10"/>
        <v>1</v>
      </c>
    </row>
    <row r="113" spans="1:23">
      <c r="A113" s="418">
        <v>134</v>
      </c>
      <c r="B113" s="419" t="s">
        <v>62</v>
      </c>
      <c r="C113" s="418">
        <v>70</v>
      </c>
      <c r="D113" s="418">
        <v>27</v>
      </c>
      <c r="E113" s="418">
        <v>55</v>
      </c>
      <c r="F113" s="418">
        <v>55</v>
      </c>
      <c r="G113" s="418">
        <f t="shared" si="6"/>
        <v>207</v>
      </c>
      <c r="H113" s="420">
        <v>0.90790000000000004</v>
      </c>
      <c r="I113" s="421">
        <f>Tabela3[[#This Row],[TOTAL DE ALUNOS ABAIXO DO BÁSICO]]/Tabela3[[#This Row],[TOTAL DE ALUNOS]]*100</f>
        <v>33.816425120772948</v>
      </c>
      <c r="J113" s="421">
        <f>Tabela3[[#This Row],[Abaixo do Básico]]*1</f>
        <v>33.816425120772948</v>
      </c>
      <c r="K113" s="421">
        <f>Tabela3[[#This Row],[TOTAL DE ALUNOS NO BÁSICO]]/Tabela3[[#This Row],[TOTAL DE ALUNOS]]*100</f>
        <v>13.043478260869565</v>
      </c>
      <c r="L113" s="421">
        <f>Tabela3[[#This Row],[Básico]]*2</f>
        <v>26.086956521739129</v>
      </c>
      <c r="M113" s="421">
        <f>Tabela3[[#This Row],[TOTAL DE ALUNOS ADEQUADO]]/Tabela3[[#This Row],[TOTAL DE ALUNOS]]*100</f>
        <v>26.570048309178745</v>
      </c>
      <c r="N113" s="421">
        <f>Tabela3[[#This Row],[Adequado]]*3</f>
        <v>79.710144927536234</v>
      </c>
      <c r="O113" s="421">
        <f>Tabela3[[#This Row],[TOTAL DE ALUNOS AVANÇADO]]/Tabela3[[#This Row],[TOTAL DE ALUNOS]]*100</f>
        <v>26.570048309178745</v>
      </c>
      <c r="P113" s="422">
        <f>Tabela3[[#This Row],[Avançado]]*4</f>
        <v>106.28019323671498</v>
      </c>
      <c r="Q113" s="422">
        <f t="shared" si="7"/>
        <v>245.89371980676327</v>
      </c>
      <c r="R113" s="423">
        <f>Tabela3[[#This Row],[Participação]]*100</f>
        <v>90.79</v>
      </c>
      <c r="S113" s="422">
        <f t="shared" si="8"/>
        <v>245.89371980676327</v>
      </c>
      <c r="T113" s="421">
        <f>Tabela3[[#This Row],[Meta 2024]]*0.65</f>
        <v>150.510685</v>
      </c>
      <c r="U113" s="421">
        <v>231.5549</v>
      </c>
      <c r="V113" s="422">
        <f t="shared" si="9"/>
        <v>1.1769258892416106</v>
      </c>
      <c r="W113" s="424">
        <f t="shared" si="10"/>
        <v>1</v>
      </c>
    </row>
    <row r="114" spans="1:23">
      <c r="A114" s="418">
        <v>135</v>
      </c>
      <c r="B114" s="419" t="s">
        <v>208</v>
      </c>
      <c r="C114" s="418">
        <v>72</v>
      </c>
      <c r="D114" s="418">
        <v>35</v>
      </c>
      <c r="E114" s="418">
        <v>40</v>
      </c>
      <c r="F114" s="418">
        <v>35</v>
      </c>
      <c r="G114" s="418">
        <f t="shared" si="6"/>
        <v>182</v>
      </c>
      <c r="H114" s="420">
        <v>0.85850000000000004</v>
      </c>
      <c r="I114" s="421">
        <f>Tabela3[[#This Row],[TOTAL DE ALUNOS ABAIXO DO BÁSICO]]/Tabela3[[#This Row],[TOTAL DE ALUNOS]]*100</f>
        <v>39.560439560439562</v>
      </c>
      <c r="J114" s="421">
        <f>Tabela3[[#This Row],[Abaixo do Básico]]*1</f>
        <v>39.560439560439562</v>
      </c>
      <c r="K114" s="421">
        <f>Tabela3[[#This Row],[TOTAL DE ALUNOS NO BÁSICO]]/Tabela3[[#This Row],[TOTAL DE ALUNOS]]*100</f>
        <v>19.230769230769234</v>
      </c>
      <c r="L114" s="421">
        <f>Tabela3[[#This Row],[Básico]]*2</f>
        <v>38.461538461538467</v>
      </c>
      <c r="M114" s="421">
        <f>Tabela3[[#This Row],[TOTAL DE ALUNOS ADEQUADO]]/Tabela3[[#This Row],[TOTAL DE ALUNOS]]*100</f>
        <v>21.978021978021978</v>
      </c>
      <c r="N114" s="421">
        <f>Tabela3[[#This Row],[Adequado]]*3</f>
        <v>65.934065934065927</v>
      </c>
      <c r="O114" s="421">
        <f>Tabela3[[#This Row],[TOTAL DE ALUNOS AVANÇADO]]/Tabela3[[#This Row],[TOTAL DE ALUNOS]]*100</f>
        <v>19.230769230769234</v>
      </c>
      <c r="P114" s="422">
        <f>Tabela3[[#This Row],[Avançado]]*4</f>
        <v>76.923076923076934</v>
      </c>
      <c r="Q114" s="422">
        <f t="shared" si="7"/>
        <v>220.8791208791209</v>
      </c>
      <c r="R114" s="423">
        <f>Tabela3[[#This Row],[Participação]]*100</f>
        <v>85.850000000000009</v>
      </c>
      <c r="S114" s="422">
        <f t="shared" si="8"/>
        <v>220.8791208791209</v>
      </c>
      <c r="T114" s="421">
        <f>Tabela3[[#This Row],[Meta 2024]]*0.65</f>
        <v>146.151005</v>
      </c>
      <c r="U114" s="421">
        <v>224.8477</v>
      </c>
      <c r="V114" s="422">
        <f t="shared" si="9"/>
        <v>0.94957120980901299</v>
      </c>
      <c r="W114" s="424">
        <f t="shared" si="10"/>
        <v>0.94957120980901299</v>
      </c>
    </row>
    <row r="115" spans="1:23">
      <c r="A115" s="418">
        <v>136</v>
      </c>
      <c r="B115" s="419" t="s">
        <v>181</v>
      </c>
      <c r="C115" s="418">
        <v>58</v>
      </c>
      <c r="D115" s="418">
        <v>28</v>
      </c>
      <c r="E115" s="418">
        <v>39</v>
      </c>
      <c r="F115" s="418">
        <v>36</v>
      </c>
      <c r="G115" s="418">
        <f t="shared" si="6"/>
        <v>161</v>
      </c>
      <c r="H115" s="420">
        <v>0.90449999999999997</v>
      </c>
      <c r="I115" s="421">
        <f>Tabela3[[#This Row],[TOTAL DE ALUNOS ABAIXO DO BÁSICO]]/Tabela3[[#This Row],[TOTAL DE ALUNOS]]*100</f>
        <v>36.024844720496894</v>
      </c>
      <c r="J115" s="421">
        <f>Tabela3[[#This Row],[Abaixo do Básico]]*1</f>
        <v>36.024844720496894</v>
      </c>
      <c r="K115" s="421">
        <f>Tabela3[[#This Row],[TOTAL DE ALUNOS NO BÁSICO]]/Tabela3[[#This Row],[TOTAL DE ALUNOS]]*100</f>
        <v>17.391304347826086</v>
      </c>
      <c r="L115" s="421">
        <f>Tabela3[[#This Row],[Básico]]*2</f>
        <v>34.782608695652172</v>
      </c>
      <c r="M115" s="421">
        <f>Tabela3[[#This Row],[TOTAL DE ALUNOS ADEQUADO]]/Tabela3[[#This Row],[TOTAL DE ALUNOS]]*100</f>
        <v>24.22360248447205</v>
      </c>
      <c r="N115" s="421">
        <f>Tabela3[[#This Row],[Adequado]]*3</f>
        <v>72.670807453416145</v>
      </c>
      <c r="O115" s="421">
        <f>Tabela3[[#This Row],[TOTAL DE ALUNOS AVANÇADO]]/Tabela3[[#This Row],[TOTAL DE ALUNOS]]*100</f>
        <v>22.36024844720497</v>
      </c>
      <c r="P115" s="422">
        <f>Tabela3[[#This Row],[Avançado]]*4</f>
        <v>89.440993788819881</v>
      </c>
      <c r="Q115" s="422">
        <f t="shared" si="7"/>
        <v>232.91925465838506</v>
      </c>
      <c r="R115" s="423">
        <f>Tabela3[[#This Row],[Participação]]*100</f>
        <v>90.45</v>
      </c>
      <c r="S115" s="422">
        <f t="shared" si="8"/>
        <v>232.91925465838506</v>
      </c>
      <c r="T115" s="421">
        <f>Tabela3[[#This Row],[Meta 2024]]*0.65</f>
        <v>162.82851000000002</v>
      </c>
      <c r="U115" s="421">
        <v>250.50540000000001</v>
      </c>
      <c r="V115" s="422">
        <f t="shared" si="9"/>
        <v>0.79942097237236687</v>
      </c>
      <c r="W115" s="424">
        <f t="shared" si="10"/>
        <v>0.79942097237236687</v>
      </c>
    </row>
    <row r="116" spans="1:23">
      <c r="A116" s="418">
        <v>138</v>
      </c>
      <c r="B116" s="419" t="s">
        <v>20</v>
      </c>
      <c r="C116" s="418">
        <v>39</v>
      </c>
      <c r="D116" s="418">
        <v>29</v>
      </c>
      <c r="E116" s="418">
        <v>33</v>
      </c>
      <c r="F116" s="418">
        <v>57</v>
      </c>
      <c r="G116" s="418">
        <f t="shared" si="6"/>
        <v>158</v>
      </c>
      <c r="H116" s="420">
        <v>0.98750000000000004</v>
      </c>
      <c r="I116" s="421">
        <f>Tabela3[[#This Row],[TOTAL DE ALUNOS ABAIXO DO BÁSICO]]/Tabela3[[#This Row],[TOTAL DE ALUNOS]]*100</f>
        <v>24.683544303797468</v>
      </c>
      <c r="J116" s="421">
        <f>Tabela3[[#This Row],[Abaixo do Básico]]*1</f>
        <v>24.683544303797468</v>
      </c>
      <c r="K116" s="421">
        <f>Tabela3[[#This Row],[TOTAL DE ALUNOS NO BÁSICO]]/Tabela3[[#This Row],[TOTAL DE ALUNOS]]*100</f>
        <v>18.354430379746837</v>
      </c>
      <c r="L116" s="421">
        <f>Tabela3[[#This Row],[Básico]]*2</f>
        <v>36.708860759493675</v>
      </c>
      <c r="M116" s="421">
        <f>Tabela3[[#This Row],[TOTAL DE ALUNOS ADEQUADO]]/Tabela3[[#This Row],[TOTAL DE ALUNOS]]*100</f>
        <v>20.88607594936709</v>
      </c>
      <c r="N116" s="421">
        <f>Tabela3[[#This Row],[Adequado]]*3</f>
        <v>62.658227848101269</v>
      </c>
      <c r="O116" s="421">
        <f>Tabela3[[#This Row],[TOTAL DE ALUNOS AVANÇADO]]/Tabela3[[#This Row],[TOTAL DE ALUNOS]]*100</f>
        <v>36.075949367088604</v>
      </c>
      <c r="P116" s="422">
        <f>Tabela3[[#This Row],[Avançado]]*4</f>
        <v>144.30379746835442</v>
      </c>
      <c r="Q116" s="422">
        <f t="shared" si="7"/>
        <v>268.35443037974682</v>
      </c>
      <c r="R116" s="423">
        <f>Tabela3[[#This Row],[Participação]]*100</f>
        <v>98.75</v>
      </c>
      <c r="S116" s="422">
        <f t="shared" si="8"/>
        <v>268.35443037974682</v>
      </c>
      <c r="T116" s="421">
        <f>Tabela3[[#This Row],[Meta 2024]]*0.65</f>
        <v>164.32851500000001</v>
      </c>
      <c r="U116" s="421">
        <v>252.81309999999999</v>
      </c>
      <c r="V116" s="422">
        <f t="shared" si="9"/>
        <v>1.1756388457915785</v>
      </c>
      <c r="W116" s="424">
        <f t="shared" si="10"/>
        <v>1</v>
      </c>
    </row>
    <row r="117" spans="1:23">
      <c r="A117" s="418">
        <v>139</v>
      </c>
      <c r="B117" s="419" t="s">
        <v>196</v>
      </c>
      <c r="C117" s="418">
        <v>80</v>
      </c>
      <c r="D117" s="418">
        <v>25</v>
      </c>
      <c r="E117" s="418">
        <v>31</v>
      </c>
      <c r="F117" s="418">
        <v>33</v>
      </c>
      <c r="G117" s="418">
        <f t="shared" si="6"/>
        <v>169</v>
      </c>
      <c r="H117" s="420">
        <v>0.91349999999999998</v>
      </c>
      <c r="I117" s="421">
        <f>Tabela3[[#This Row],[TOTAL DE ALUNOS ABAIXO DO BÁSICO]]/Tabela3[[#This Row],[TOTAL DE ALUNOS]]*100</f>
        <v>47.337278106508876</v>
      </c>
      <c r="J117" s="421">
        <f>Tabela3[[#This Row],[Abaixo do Básico]]*1</f>
        <v>47.337278106508876</v>
      </c>
      <c r="K117" s="421">
        <f>Tabela3[[#This Row],[TOTAL DE ALUNOS NO BÁSICO]]/Tabela3[[#This Row],[TOTAL DE ALUNOS]]*100</f>
        <v>14.792899408284024</v>
      </c>
      <c r="L117" s="421">
        <f>Tabela3[[#This Row],[Básico]]*2</f>
        <v>29.585798816568047</v>
      </c>
      <c r="M117" s="421">
        <f>Tabela3[[#This Row],[TOTAL DE ALUNOS ADEQUADO]]/Tabela3[[#This Row],[TOTAL DE ALUNOS]]*100</f>
        <v>18.34319526627219</v>
      </c>
      <c r="N117" s="421">
        <f>Tabela3[[#This Row],[Adequado]]*3</f>
        <v>55.029585798816569</v>
      </c>
      <c r="O117" s="421">
        <f>Tabela3[[#This Row],[TOTAL DE ALUNOS AVANÇADO]]/Tabela3[[#This Row],[TOTAL DE ALUNOS]]*100</f>
        <v>19.526627218934912</v>
      </c>
      <c r="P117" s="422">
        <f>Tabela3[[#This Row],[Avançado]]*4</f>
        <v>78.10650887573965</v>
      </c>
      <c r="Q117" s="422">
        <f t="shared" si="7"/>
        <v>210.05917159763314</v>
      </c>
      <c r="R117" s="423">
        <f>Tabela3[[#This Row],[Participação]]*100</f>
        <v>91.35</v>
      </c>
      <c r="S117" s="422">
        <f t="shared" si="8"/>
        <v>210.05917159763314</v>
      </c>
      <c r="T117" s="421">
        <f>Tabela3[[#This Row],[Meta 2024]]*0.65</f>
        <v>128.54543000000001</v>
      </c>
      <c r="U117" s="421">
        <v>197.76220000000001</v>
      </c>
      <c r="V117" s="422">
        <f t="shared" si="9"/>
        <v>1.177658847669909</v>
      </c>
      <c r="W117" s="424">
        <f t="shared" si="10"/>
        <v>1</v>
      </c>
    </row>
    <row r="118" spans="1:23">
      <c r="A118" s="418">
        <v>140</v>
      </c>
      <c r="B118" s="419" t="s">
        <v>172</v>
      </c>
      <c r="C118" s="418">
        <v>28</v>
      </c>
      <c r="D118" s="418">
        <v>15</v>
      </c>
      <c r="E118" s="418">
        <v>23</v>
      </c>
      <c r="F118" s="418">
        <v>30</v>
      </c>
      <c r="G118" s="418">
        <f t="shared" si="6"/>
        <v>96</v>
      </c>
      <c r="H118" s="420">
        <v>0.97960000000000003</v>
      </c>
      <c r="I118" s="421">
        <f>Tabela3[[#This Row],[TOTAL DE ALUNOS ABAIXO DO BÁSICO]]/Tabela3[[#This Row],[TOTAL DE ALUNOS]]*100</f>
        <v>29.166666666666668</v>
      </c>
      <c r="J118" s="421">
        <f>Tabela3[[#This Row],[Abaixo do Básico]]*1</f>
        <v>29.166666666666668</v>
      </c>
      <c r="K118" s="421">
        <f>Tabela3[[#This Row],[TOTAL DE ALUNOS NO BÁSICO]]/Tabela3[[#This Row],[TOTAL DE ALUNOS]]*100</f>
        <v>15.625</v>
      </c>
      <c r="L118" s="421">
        <f>Tabela3[[#This Row],[Básico]]*2</f>
        <v>31.25</v>
      </c>
      <c r="M118" s="421">
        <f>Tabela3[[#This Row],[TOTAL DE ALUNOS ADEQUADO]]/Tabela3[[#This Row],[TOTAL DE ALUNOS]]*100</f>
        <v>23.958333333333336</v>
      </c>
      <c r="N118" s="421">
        <f>Tabela3[[#This Row],[Adequado]]*3</f>
        <v>71.875</v>
      </c>
      <c r="O118" s="421">
        <f>Tabela3[[#This Row],[TOTAL DE ALUNOS AVANÇADO]]/Tabela3[[#This Row],[TOTAL DE ALUNOS]]*100</f>
        <v>31.25</v>
      </c>
      <c r="P118" s="422">
        <f>Tabela3[[#This Row],[Avançado]]*4</f>
        <v>125</v>
      </c>
      <c r="Q118" s="422">
        <f t="shared" si="7"/>
        <v>257.29166666666669</v>
      </c>
      <c r="R118" s="423">
        <f>Tabela3[[#This Row],[Participação]]*100</f>
        <v>97.960000000000008</v>
      </c>
      <c r="S118" s="422">
        <f t="shared" si="8"/>
        <v>257.29166666666669</v>
      </c>
      <c r="T118" s="421">
        <f>Tabela3[[#This Row],[Meta 2024]]*0.65</f>
        <v>146.20781500000001</v>
      </c>
      <c r="U118" s="421">
        <v>224.93510000000001</v>
      </c>
      <c r="V118" s="422">
        <f t="shared" si="9"/>
        <v>1.4109955864306343</v>
      </c>
      <c r="W118" s="424">
        <f t="shared" si="10"/>
        <v>1</v>
      </c>
    </row>
    <row r="119" spans="1:23">
      <c r="A119" s="418">
        <v>141</v>
      </c>
      <c r="B119" s="419" t="s">
        <v>33</v>
      </c>
      <c r="C119" s="418">
        <v>66</v>
      </c>
      <c r="D119" s="418">
        <v>31</v>
      </c>
      <c r="E119" s="418">
        <v>51</v>
      </c>
      <c r="F119" s="418">
        <v>35</v>
      </c>
      <c r="G119" s="418">
        <f t="shared" si="6"/>
        <v>183</v>
      </c>
      <c r="H119" s="420">
        <v>0.94330000000000003</v>
      </c>
      <c r="I119" s="421">
        <f>Tabela3[[#This Row],[TOTAL DE ALUNOS ABAIXO DO BÁSICO]]/Tabela3[[#This Row],[TOTAL DE ALUNOS]]*100</f>
        <v>36.065573770491802</v>
      </c>
      <c r="J119" s="421">
        <f>Tabela3[[#This Row],[Abaixo do Básico]]*1</f>
        <v>36.065573770491802</v>
      </c>
      <c r="K119" s="421">
        <f>Tabela3[[#This Row],[TOTAL DE ALUNOS NO BÁSICO]]/Tabela3[[#This Row],[TOTAL DE ALUNOS]]*100</f>
        <v>16.939890710382514</v>
      </c>
      <c r="L119" s="421">
        <f>Tabela3[[#This Row],[Básico]]*2</f>
        <v>33.879781420765028</v>
      </c>
      <c r="M119" s="421">
        <f>Tabela3[[#This Row],[TOTAL DE ALUNOS ADEQUADO]]/Tabela3[[#This Row],[TOTAL DE ALUNOS]]*100</f>
        <v>27.868852459016392</v>
      </c>
      <c r="N119" s="421">
        <f>Tabela3[[#This Row],[Adequado]]*3</f>
        <v>83.606557377049171</v>
      </c>
      <c r="O119" s="421">
        <f>Tabela3[[#This Row],[TOTAL DE ALUNOS AVANÇADO]]/Tabela3[[#This Row],[TOTAL DE ALUNOS]]*100</f>
        <v>19.125683060109289</v>
      </c>
      <c r="P119" s="422">
        <f>Tabela3[[#This Row],[Avançado]]*4</f>
        <v>76.502732240437155</v>
      </c>
      <c r="Q119" s="422">
        <f t="shared" si="7"/>
        <v>230.05464480874315</v>
      </c>
      <c r="R119" s="423">
        <f>Tabela3[[#This Row],[Participação]]*100</f>
        <v>94.33</v>
      </c>
      <c r="S119" s="422">
        <f t="shared" si="8"/>
        <v>230.05464480874315</v>
      </c>
      <c r="T119" s="421">
        <f>Tabela3[[#This Row],[Meta 2024]]*0.65</f>
        <v>147.54486499999999</v>
      </c>
      <c r="U119" s="421">
        <v>226.99209999999999</v>
      </c>
      <c r="V119" s="422">
        <f t="shared" si="9"/>
        <v>1.0385481610372362</v>
      </c>
      <c r="W119" s="424">
        <f t="shared" si="10"/>
        <v>1</v>
      </c>
    </row>
    <row r="120" spans="1:23">
      <c r="A120" s="418">
        <v>142</v>
      </c>
      <c r="B120" s="419" t="s">
        <v>105</v>
      </c>
      <c r="C120" s="418">
        <v>62</v>
      </c>
      <c r="D120" s="418">
        <v>31</v>
      </c>
      <c r="E120" s="418">
        <v>56</v>
      </c>
      <c r="F120" s="418">
        <v>35</v>
      </c>
      <c r="G120" s="418">
        <f t="shared" si="6"/>
        <v>184</v>
      </c>
      <c r="H120" s="420">
        <v>0.92930000000000001</v>
      </c>
      <c r="I120" s="421">
        <f>Tabela3[[#This Row],[TOTAL DE ALUNOS ABAIXO DO BÁSICO]]/Tabela3[[#This Row],[TOTAL DE ALUNOS]]*100</f>
        <v>33.695652173913047</v>
      </c>
      <c r="J120" s="421">
        <f>Tabela3[[#This Row],[Abaixo do Básico]]*1</f>
        <v>33.695652173913047</v>
      </c>
      <c r="K120" s="421">
        <f>Tabela3[[#This Row],[TOTAL DE ALUNOS NO BÁSICO]]/Tabela3[[#This Row],[TOTAL DE ALUNOS]]*100</f>
        <v>16.847826086956523</v>
      </c>
      <c r="L120" s="421">
        <f>Tabela3[[#This Row],[Básico]]*2</f>
        <v>33.695652173913047</v>
      </c>
      <c r="M120" s="421">
        <f>Tabela3[[#This Row],[TOTAL DE ALUNOS ADEQUADO]]/Tabela3[[#This Row],[TOTAL DE ALUNOS]]*100</f>
        <v>30.434782608695656</v>
      </c>
      <c r="N120" s="421">
        <f>Tabela3[[#This Row],[Adequado]]*3</f>
        <v>91.304347826086968</v>
      </c>
      <c r="O120" s="421">
        <f>Tabela3[[#This Row],[TOTAL DE ALUNOS AVANÇADO]]/Tabela3[[#This Row],[TOTAL DE ALUNOS]]*100</f>
        <v>19.021739130434785</v>
      </c>
      <c r="P120" s="422">
        <f>Tabela3[[#This Row],[Avançado]]*4</f>
        <v>76.08695652173914</v>
      </c>
      <c r="Q120" s="422">
        <f t="shared" si="7"/>
        <v>234.78260869565219</v>
      </c>
      <c r="R120" s="423">
        <f>Tabela3[[#This Row],[Participação]]*100</f>
        <v>92.93</v>
      </c>
      <c r="S120" s="422">
        <f t="shared" si="8"/>
        <v>234.78260869565219</v>
      </c>
      <c r="T120" s="421">
        <f>Tabela3[[#This Row],[Meta 2024]]*0.65</f>
        <v>140.98058</v>
      </c>
      <c r="U120" s="421">
        <v>216.89320000000001</v>
      </c>
      <c r="V120" s="422">
        <f t="shared" si="9"/>
        <v>1.2356579010927586</v>
      </c>
      <c r="W120" s="424">
        <f t="shared" si="10"/>
        <v>1</v>
      </c>
    </row>
    <row r="121" spans="1:23">
      <c r="A121" s="418">
        <v>144</v>
      </c>
      <c r="B121" s="419" t="s">
        <v>114</v>
      </c>
      <c r="C121" s="418">
        <v>71</v>
      </c>
      <c r="D121" s="418">
        <v>29</v>
      </c>
      <c r="E121" s="418">
        <v>45</v>
      </c>
      <c r="F121" s="418">
        <v>33</v>
      </c>
      <c r="G121" s="418">
        <f t="shared" si="6"/>
        <v>178</v>
      </c>
      <c r="H121" s="420">
        <v>0.90359999999999996</v>
      </c>
      <c r="I121" s="421">
        <f>Tabela3[[#This Row],[TOTAL DE ALUNOS ABAIXO DO BÁSICO]]/Tabela3[[#This Row],[TOTAL DE ALUNOS]]*100</f>
        <v>39.887640449438202</v>
      </c>
      <c r="J121" s="421">
        <f>Tabela3[[#This Row],[Abaixo do Básico]]*1</f>
        <v>39.887640449438202</v>
      </c>
      <c r="K121" s="421">
        <f>Tabela3[[#This Row],[TOTAL DE ALUNOS NO BÁSICO]]/Tabela3[[#This Row],[TOTAL DE ALUNOS]]*100</f>
        <v>16.292134831460675</v>
      </c>
      <c r="L121" s="421">
        <f>Tabela3[[#This Row],[Básico]]*2</f>
        <v>32.584269662921351</v>
      </c>
      <c r="M121" s="421">
        <f>Tabela3[[#This Row],[TOTAL DE ALUNOS ADEQUADO]]/Tabela3[[#This Row],[TOTAL DE ALUNOS]]*100</f>
        <v>25.280898876404496</v>
      </c>
      <c r="N121" s="421">
        <f>Tabela3[[#This Row],[Adequado]]*3</f>
        <v>75.842696629213492</v>
      </c>
      <c r="O121" s="421">
        <f>Tabela3[[#This Row],[TOTAL DE ALUNOS AVANÇADO]]/Tabela3[[#This Row],[TOTAL DE ALUNOS]]*100</f>
        <v>18.539325842696631</v>
      </c>
      <c r="P121" s="422">
        <f>Tabela3[[#This Row],[Avançado]]*4</f>
        <v>74.157303370786522</v>
      </c>
      <c r="Q121" s="422">
        <f t="shared" si="7"/>
        <v>222.47191011235958</v>
      </c>
      <c r="R121" s="423">
        <f>Tabela3[[#This Row],[Participação]]*100</f>
        <v>90.36</v>
      </c>
      <c r="S121" s="422">
        <f t="shared" si="8"/>
        <v>222.47191011235958</v>
      </c>
      <c r="T121" s="421">
        <f>Tabela3[[#This Row],[Meta 2024]]*0.65</f>
        <v>144.0205</v>
      </c>
      <c r="U121" s="421">
        <v>221.57</v>
      </c>
      <c r="V121" s="422">
        <f t="shared" si="9"/>
        <v>1.0116301215657044</v>
      </c>
      <c r="W121" s="424">
        <f t="shared" si="10"/>
        <v>1</v>
      </c>
    </row>
    <row r="122" spans="1:23">
      <c r="A122" s="418">
        <v>145</v>
      </c>
      <c r="B122" s="419" t="s">
        <v>139</v>
      </c>
      <c r="C122" s="418">
        <v>29</v>
      </c>
      <c r="D122" s="418">
        <v>16</v>
      </c>
      <c r="E122" s="418">
        <v>17</v>
      </c>
      <c r="F122" s="418">
        <v>27</v>
      </c>
      <c r="G122" s="418">
        <f t="shared" si="6"/>
        <v>89</v>
      </c>
      <c r="H122" s="420">
        <v>0.88119999999999998</v>
      </c>
      <c r="I122" s="421">
        <f>Tabela3[[#This Row],[TOTAL DE ALUNOS ABAIXO DO BÁSICO]]/Tabela3[[#This Row],[TOTAL DE ALUNOS]]*100</f>
        <v>32.584269662921351</v>
      </c>
      <c r="J122" s="421">
        <f>Tabela3[[#This Row],[Abaixo do Básico]]*1</f>
        <v>32.584269662921351</v>
      </c>
      <c r="K122" s="421">
        <f>Tabela3[[#This Row],[TOTAL DE ALUNOS NO BÁSICO]]/Tabela3[[#This Row],[TOTAL DE ALUNOS]]*100</f>
        <v>17.977528089887642</v>
      </c>
      <c r="L122" s="421">
        <f>Tabela3[[#This Row],[Básico]]*2</f>
        <v>35.955056179775283</v>
      </c>
      <c r="M122" s="421">
        <f>Tabela3[[#This Row],[TOTAL DE ALUNOS ADEQUADO]]/Tabela3[[#This Row],[TOTAL DE ALUNOS]]*100</f>
        <v>19.101123595505616</v>
      </c>
      <c r="N122" s="421">
        <f>Tabela3[[#This Row],[Adequado]]*3</f>
        <v>57.303370786516851</v>
      </c>
      <c r="O122" s="421">
        <f>Tabela3[[#This Row],[TOTAL DE ALUNOS AVANÇADO]]/Tabela3[[#This Row],[TOTAL DE ALUNOS]]*100</f>
        <v>30.337078651685395</v>
      </c>
      <c r="P122" s="422">
        <f>Tabela3[[#This Row],[Avançado]]*4</f>
        <v>121.34831460674158</v>
      </c>
      <c r="Q122" s="422">
        <f t="shared" si="7"/>
        <v>247.19101123595505</v>
      </c>
      <c r="R122" s="423">
        <f>Tabela3[[#This Row],[Participação]]*100</f>
        <v>88.12</v>
      </c>
      <c r="S122" s="422">
        <f t="shared" si="8"/>
        <v>247.19101123595505</v>
      </c>
      <c r="T122" s="421">
        <f>Tabela3[[#This Row],[Meta 2024]]*0.65</f>
        <v>152.18801000000002</v>
      </c>
      <c r="U122" s="421">
        <v>234.1354</v>
      </c>
      <c r="V122" s="422">
        <f t="shared" si="9"/>
        <v>1.159316986617329</v>
      </c>
      <c r="W122" s="424">
        <f t="shared" si="10"/>
        <v>1</v>
      </c>
    </row>
    <row r="123" spans="1:23">
      <c r="A123" s="418">
        <v>147</v>
      </c>
      <c r="B123" s="419" t="s">
        <v>42</v>
      </c>
      <c r="C123" s="418">
        <v>60</v>
      </c>
      <c r="D123" s="418">
        <v>26</v>
      </c>
      <c r="E123" s="418">
        <v>46</v>
      </c>
      <c r="F123" s="418">
        <v>62</v>
      </c>
      <c r="G123" s="418">
        <f t="shared" si="6"/>
        <v>194</v>
      </c>
      <c r="H123" s="420">
        <v>0.87390000000000001</v>
      </c>
      <c r="I123" s="421">
        <f>Tabela3[[#This Row],[TOTAL DE ALUNOS ABAIXO DO BÁSICO]]/Tabela3[[#This Row],[TOTAL DE ALUNOS]]*100</f>
        <v>30.927835051546392</v>
      </c>
      <c r="J123" s="421">
        <f>Tabela3[[#This Row],[Abaixo do Básico]]*1</f>
        <v>30.927835051546392</v>
      </c>
      <c r="K123" s="421">
        <f>Tabela3[[#This Row],[TOTAL DE ALUNOS NO BÁSICO]]/Tabela3[[#This Row],[TOTAL DE ALUNOS]]*100</f>
        <v>13.402061855670103</v>
      </c>
      <c r="L123" s="421">
        <f>Tabela3[[#This Row],[Básico]]*2</f>
        <v>26.804123711340207</v>
      </c>
      <c r="M123" s="421">
        <f>Tabela3[[#This Row],[TOTAL DE ALUNOS ADEQUADO]]/Tabela3[[#This Row],[TOTAL DE ALUNOS]]*100</f>
        <v>23.711340206185564</v>
      </c>
      <c r="N123" s="421">
        <f>Tabela3[[#This Row],[Adequado]]*3</f>
        <v>71.13402061855669</v>
      </c>
      <c r="O123" s="421">
        <f>Tabela3[[#This Row],[TOTAL DE ALUNOS AVANÇADO]]/Tabela3[[#This Row],[TOTAL DE ALUNOS]]*100</f>
        <v>31.958762886597935</v>
      </c>
      <c r="P123" s="422">
        <f>Tabela3[[#This Row],[Avançado]]*4</f>
        <v>127.83505154639174</v>
      </c>
      <c r="Q123" s="422">
        <f t="shared" si="7"/>
        <v>256.70103092783501</v>
      </c>
      <c r="R123" s="423">
        <f>Tabela3[[#This Row],[Participação]]*100</f>
        <v>87.39</v>
      </c>
      <c r="S123" s="422">
        <f t="shared" si="8"/>
        <v>256.70103092783501</v>
      </c>
      <c r="T123" s="421">
        <f>Tabela3[[#This Row],[Meta 2024]]*0.65</f>
        <v>154.18526500000002</v>
      </c>
      <c r="U123" s="421">
        <v>237.2081</v>
      </c>
      <c r="V123" s="422">
        <f t="shared" si="9"/>
        <v>1.2347899939556992</v>
      </c>
      <c r="W123" s="424">
        <f t="shared" si="10"/>
        <v>1</v>
      </c>
    </row>
    <row r="124" spans="1:23">
      <c r="A124" s="418">
        <v>148</v>
      </c>
      <c r="B124" s="419" t="s">
        <v>131</v>
      </c>
      <c r="C124" s="418">
        <v>76</v>
      </c>
      <c r="D124" s="418">
        <v>32</v>
      </c>
      <c r="E124" s="418">
        <v>31</v>
      </c>
      <c r="F124" s="418">
        <v>26</v>
      </c>
      <c r="G124" s="418">
        <f t="shared" si="6"/>
        <v>165</v>
      </c>
      <c r="H124" s="420">
        <v>0.96489999999999998</v>
      </c>
      <c r="I124" s="421">
        <f>Tabela3[[#This Row],[TOTAL DE ALUNOS ABAIXO DO BÁSICO]]/Tabela3[[#This Row],[TOTAL DE ALUNOS]]*100</f>
        <v>46.060606060606062</v>
      </c>
      <c r="J124" s="421">
        <f>Tabela3[[#This Row],[Abaixo do Básico]]*1</f>
        <v>46.060606060606062</v>
      </c>
      <c r="K124" s="421">
        <f>Tabela3[[#This Row],[TOTAL DE ALUNOS NO BÁSICO]]/Tabela3[[#This Row],[TOTAL DE ALUNOS]]*100</f>
        <v>19.393939393939394</v>
      </c>
      <c r="L124" s="421">
        <f>Tabela3[[#This Row],[Básico]]*2</f>
        <v>38.787878787878789</v>
      </c>
      <c r="M124" s="421">
        <f>Tabela3[[#This Row],[TOTAL DE ALUNOS ADEQUADO]]/Tabela3[[#This Row],[TOTAL DE ALUNOS]]*100</f>
        <v>18.787878787878785</v>
      </c>
      <c r="N124" s="421">
        <f>Tabela3[[#This Row],[Adequado]]*3</f>
        <v>56.36363636363636</v>
      </c>
      <c r="O124" s="421">
        <f>Tabela3[[#This Row],[TOTAL DE ALUNOS AVANÇADO]]/Tabela3[[#This Row],[TOTAL DE ALUNOS]]*100</f>
        <v>15.757575757575756</v>
      </c>
      <c r="P124" s="422">
        <f>Tabela3[[#This Row],[Avançado]]*4</f>
        <v>63.030303030303024</v>
      </c>
      <c r="Q124" s="422">
        <f t="shared" si="7"/>
        <v>204.24242424242422</v>
      </c>
      <c r="R124" s="423">
        <f>Tabela3[[#This Row],[Participação]]*100</f>
        <v>96.49</v>
      </c>
      <c r="S124" s="422">
        <f t="shared" si="8"/>
        <v>204.24242424242422</v>
      </c>
      <c r="T124" s="421">
        <f>Tabela3[[#This Row],[Meta 2024]]*0.65</f>
        <v>126.04182500000002</v>
      </c>
      <c r="U124" s="421">
        <v>193.91050000000001</v>
      </c>
      <c r="V124" s="422">
        <f t="shared" si="9"/>
        <v>1.1522340644255131</v>
      </c>
      <c r="W124" s="424">
        <f t="shared" si="10"/>
        <v>1</v>
      </c>
    </row>
    <row r="125" spans="1:23">
      <c r="A125" s="418">
        <v>149</v>
      </c>
      <c r="B125" s="419" t="s">
        <v>28</v>
      </c>
      <c r="C125" s="418">
        <v>71</v>
      </c>
      <c r="D125" s="418">
        <v>33</v>
      </c>
      <c r="E125" s="418">
        <v>54</v>
      </c>
      <c r="F125" s="418">
        <v>52</v>
      </c>
      <c r="G125" s="418">
        <f t="shared" si="6"/>
        <v>210</v>
      </c>
      <c r="H125" s="420">
        <v>0.95889999999999997</v>
      </c>
      <c r="I125" s="421">
        <f>Tabela3[[#This Row],[TOTAL DE ALUNOS ABAIXO DO BÁSICO]]/Tabela3[[#This Row],[TOTAL DE ALUNOS]]*100</f>
        <v>33.80952380952381</v>
      </c>
      <c r="J125" s="421">
        <f>Tabela3[[#This Row],[Abaixo do Básico]]*1</f>
        <v>33.80952380952381</v>
      </c>
      <c r="K125" s="421">
        <f>Tabela3[[#This Row],[TOTAL DE ALUNOS NO BÁSICO]]/Tabela3[[#This Row],[TOTAL DE ALUNOS]]*100</f>
        <v>15.714285714285714</v>
      </c>
      <c r="L125" s="421">
        <f>Tabela3[[#This Row],[Básico]]*2</f>
        <v>31.428571428571427</v>
      </c>
      <c r="M125" s="421">
        <f>Tabela3[[#This Row],[TOTAL DE ALUNOS ADEQUADO]]/Tabela3[[#This Row],[TOTAL DE ALUNOS]]*100</f>
        <v>25.714285714285712</v>
      </c>
      <c r="N125" s="421">
        <f>Tabela3[[#This Row],[Adequado]]*3</f>
        <v>77.142857142857139</v>
      </c>
      <c r="O125" s="421">
        <f>Tabela3[[#This Row],[TOTAL DE ALUNOS AVANÇADO]]/Tabela3[[#This Row],[TOTAL DE ALUNOS]]*100</f>
        <v>24.761904761904763</v>
      </c>
      <c r="P125" s="422">
        <f>Tabela3[[#This Row],[Avançado]]*4</f>
        <v>99.047619047619051</v>
      </c>
      <c r="Q125" s="422">
        <f t="shared" si="7"/>
        <v>241.42857142857144</v>
      </c>
      <c r="R125" s="423">
        <f>Tabela3[[#This Row],[Participação]]*100</f>
        <v>95.89</v>
      </c>
      <c r="S125" s="422">
        <f t="shared" si="8"/>
        <v>241.42857142857144</v>
      </c>
      <c r="T125" s="421">
        <f>Tabela3[[#This Row],[Meta 2024]]*0.65</f>
        <v>132.17125999999999</v>
      </c>
      <c r="U125" s="421">
        <v>203.34039999999999</v>
      </c>
      <c r="V125" s="422">
        <f t="shared" si="9"/>
        <v>1.53517818858808</v>
      </c>
      <c r="W125" s="424">
        <f t="shared" si="10"/>
        <v>1</v>
      </c>
    </row>
    <row r="126" spans="1:23">
      <c r="A126" s="418">
        <v>150</v>
      </c>
      <c r="B126" s="419" t="s">
        <v>70</v>
      </c>
      <c r="C126" s="418">
        <v>52</v>
      </c>
      <c r="D126" s="418">
        <v>25</v>
      </c>
      <c r="E126" s="418">
        <v>27</v>
      </c>
      <c r="F126" s="418">
        <v>39</v>
      </c>
      <c r="G126" s="418">
        <f t="shared" si="6"/>
        <v>143</v>
      </c>
      <c r="H126" s="420">
        <v>0.91669999999999996</v>
      </c>
      <c r="I126" s="421">
        <f>Tabela3[[#This Row],[TOTAL DE ALUNOS ABAIXO DO BÁSICO]]/Tabela3[[#This Row],[TOTAL DE ALUNOS]]*100</f>
        <v>36.363636363636367</v>
      </c>
      <c r="J126" s="421">
        <f>Tabela3[[#This Row],[Abaixo do Básico]]*1</f>
        <v>36.363636363636367</v>
      </c>
      <c r="K126" s="421">
        <f>Tabela3[[#This Row],[TOTAL DE ALUNOS NO BÁSICO]]/Tabela3[[#This Row],[TOTAL DE ALUNOS]]*100</f>
        <v>17.482517482517483</v>
      </c>
      <c r="L126" s="421">
        <f>Tabela3[[#This Row],[Básico]]*2</f>
        <v>34.965034965034967</v>
      </c>
      <c r="M126" s="421">
        <f>Tabela3[[#This Row],[TOTAL DE ALUNOS ADEQUADO]]/Tabela3[[#This Row],[TOTAL DE ALUNOS]]*100</f>
        <v>18.88111888111888</v>
      </c>
      <c r="N126" s="421">
        <f>Tabela3[[#This Row],[Adequado]]*3</f>
        <v>56.64335664335664</v>
      </c>
      <c r="O126" s="421">
        <f>Tabela3[[#This Row],[TOTAL DE ALUNOS AVANÇADO]]/Tabela3[[#This Row],[TOTAL DE ALUNOS]]*100</f>
        <v>27.27272727272727</v>
      </c>
      <c r="P126" s="422">
        <f>Tabela3[[#This Row],[Avançado]]*4</f>
        <v>109.09090909090908</v>
      </c>
      <c r="Q126" s="422">
        <f t="shared" si="7"/>
        <v>237.06293706293707</v>
      </c>
      <c r="R126" s="423">
        <f>Tabela3[[#This Row],[Participação]]*100</f>
        <v>91.67</v>
      </c>
      <c r="S126" s="422">
        <f t="shared" si="8"/>
        <v>237.06293706293707</v>
      </c>
      <c r="T126" s="421">
        <f>Tabela3[[#This Row],[Meta 2024]]*0.65</f>
        <v>159.26735500000001</v>
      </c>
      <c r="U126" s="421">
        <v>245.02670000000001</v>
      </c>
      <c r="V126" s="422">
        <f t="shared" si="9"/>
        <v>0.90713824904955909</v>
      </c>
      <c r="W126" s="424">
        <f t="shared" si="10"/>
        <v>0.90713824904955909</v>
      </c>
    </row>
    <row r="127" spans="1:23">
      <c r="A127" s="418">
        <v>151</v>
      </c>
      <c r="B127" s="419" t="s">
        <v>168</v>
      </c>
      <c r="C127" s="418">
        <v>61</v>
      </c>
      <c r="D127" s="418">
        <v>25</v>
      </c>
      <c r="E127" s="418">
        <v>40</v>
      </c>
      <c r="F127" s="418">
        <v>45</v>
      </c>
      <c r="G127" s="418">
        <f t="shared" si="6"/>
        <v>171</v>
      </c>
      <c r="H127" s="420">
        <v>0.92430000000000001</v>
      </c>
      <c r="I127" s="421">
        <f>Tabela3[[#This Row],[TOTAL DE ALUNOS ABAIXO DO BÁSICO]]/Tabela3[[#This Row],[TOTAL DE ALUNOS]]*100</f>
        <v>35.672514619883039</v>
      </c>
      <c r="J127" s="421">
        <f>Tabela3[[#This Row],[Abaixo do Básico]]*1</f>
        <v>35.672514619883039</v>
      </c>
      <c r="K127" s="421">
        <f>Tabela3[[#This Row],[TOTAL DE ALUNOS NO BÁSICO]]/Tabela3[[#This Row],[TOTAL DE ALUNOS]]*100</f>
        <v>14.619883040935672</v>
      </c>
      <c r="L127" s="421">
        <f>Tabela3[[#This Row],[Básico]]*2</f>
        <v>29.239766081871345</v>
      </c>
      <c r="M127" s="421">
        <f>Tabela3[[#This Row],[TOTAL DE ALUNOS ADEQUADO]]/Tabela3[[#This Row],[TOTAL DE ALUNOS]]*100</f>
        <v>23.391812865497073</v>
      </c>
      <c r="N127" s="421">
        <f>Tabela3[[#This Row],[Adequado]]*3</f>
        <v>70.175438596491219</v>
      </c>
      <c r="O127" s="421">
        <f>Tabela3[[#This Row],[TOTAL DE ALUNOS AVANÇADO]]/Tabela3[[#This Row],[TOTAL DE ALUNOS]]*100</f>
        <v>26.315789473684209</v>
      </c>
      <c r="P127" s="422">
        <f>Tabela3[[#This Row],[Avançado]]*4</f>
        <v>105.26315789473684</v>
      </c>
      <c r="Q127" s="422">
        <f t="shared" si="7"/>
        <v>240.35087719298241</v>
      </c>
      <c r="R127" s="423">
        <f>Tabela3[[#This Row],[Participação]]*100</f>
        <v>92.43</v>
      </c>
      <c r="S127" s="422">
        <f t="shared" si="8"/>
        <v>240.35087719298241</v>
      </c>
      <c r="T127" s="421">
        <f>Tabela3[[#This Row],[Meta 2024]]*0.65</f>
        <v>143.01514500000002</v>
      </c>
      <c r="U127" s="421">
        <v>220.02330000000001</v>
      </c>
      <c r="V127" s="422">
        <f t="shared" si="9"/>
        <v>1.2639665525421613</v>
      </c>
      <c r="W127" s="424">
        <f t="shared" si="10"/>
        <v>1</v>
      </c>
    </row>
    <row r="128" spans="1:23">
      <c r="A128" s="418">
        <v>152</v>
      </c>
      <c r="B128" s="419" t="s">
        <v>24</v>
      </c>
      <c r="C128" s="418">
        <v>89</v>
      </c>
      <c r="D128" s="418">
        <v>34</v>
      </c>
      <c r="E128" s="418">
        <v>54</v>
      </c>
      <c r="F128" s="418">
        <v>29</v>
      </c>
      <c r="G128" s="418">
        <f t="shared" si="6"/>
        <v>206</v>
      </c>
      <c r="H128" s="420">
        <v>0.94059999999999999</v>
      </c>
      <c r="I128" s="421">
        <f>Tabela3[[#This Row],[TOTAL DE ALUNOS ABAIXO DO BÁSICO]]/Tabela3[[#This Row],[TOTAL DE ALUNOS]]*100</f>
        <v>43.203883495145625</v>
      </c>
      <c r="J128" s="421">
        <f>Tabela3[[#This Row],[Abaixo do Básico]]*1</f>
        <v>43.203883495145625</v>
      </c>
      <c r="K128" s="421">
        <f>Tabela3[[#This Row],[TOTAL DE ALUNOS NO BÁSICO]]/Tabela3[[#This Row],[TOTAL DE ALUNOS]]*100</f>
        <v>16.50485436893204</v>
      </c>
      <c r="L128" s="421">
        <f>Tabela3[[#This Row],[Básico]]*2</f>
        <v>33.009708737864081</v>
      </c>
      <c r="M128" s="421">
        <f>Tabela3[[#This Row],[TOTAL DE ALUNOS ADEQUADO]]/Tabela3[[#This Row],[TOTAL DE ALUNOS]]*100</f>
        <v>26.21359223300971</v>
      </c>
      <c r="N128" s="421">
        <f>Tabela3[[#This Row],[Adequado]]*3</f>
        <v>78.640776699029132</v>
      </c>
      <c r="O128" s="421">
        <f>Tabela3[[#This Row],[TOTAL DE ALUNOS AVANÇADO]]/Tabela3[[#This Row],[TOTAL DE ALUNOS]]*100</f>
        <v>14.077669902912621</v>
      </c>
      <c r="P128" s="422">
        <f>Tabela3[[#This Row],[Avançado]]*4</f>
        <v>56.310679611650485</v>
      </c>
      <c r="Q128" s="422">
        <f t="shared" si="7"/>
        <v>211.1650485436893</v>
      </c>
      <c r="R128" s="423">
        <f>Tabela3[[#This Row],[Participação]]*100</f>
        <v>94.06</v>
      </c>
      <c r="S128" s="422">
        <f t="shared" si="8"/>
        <v>211.1650485436893</v>
      </c>
      <c r="T128" s="421">
        <f>Tabela3[[#This Row],[Meta 2024]]*0.65</f>
        <v>162.949735</v>
      </c>
      <c r="U128" s="421">
        <v>250.6919</v>
      </c>
      <c r="V128" s="422">
        <f t="shared" si="9"/>
        <v>0.54951132723576279</v>
      </c>
      <c r="W128" s="424">
        <f t="shared" si="10"/>
        <v>0.54951132723576279</v>
      </c>
    </row>
    <row r="129" spans="1:23">
      <c r="A129" s="418">
        <v>153</v>
      </c>
      <c r="B129" s="419" t="s">
        <v>189</v>
      </c>
      <c r="C129" s="418">
        <v>92</v>
      </c>
      <c r="D129" s="418">
        <v>49</v>
      </c>
      <c r="E129" s="418">
        <v>63</v>
      </c>
      <c r="F129" s="418">
        <v>59</v>
      </c>
      <c r="G129" s="418">
        <f t="shared" si="6"/>
        <v>263</v>
      </c>
      <c r="H129" s="420">
        <v>0.86799999999999999</v>
      </c>
      <c r="I129" s="421">
        <f>Tabela3[[#This Row],[TOTAL DE ALUNOS ABAIXO DO BÁSICO]]/Tabela3[[#This Row],[TOTAL DE ALUNOS]]*100</f>
        <v>34.980988593155892</v>
      </c>
      <c r="J129" s="421">
        <f>Tabela3[[#This Row],[Abaixo do Básico]]*1</f>
        <v>34.980988593155892</v>
      </c>
      <c r="K129" s="421">
        <f>Tabela3[[#This Row],[TOTAL DE ALUNOS NO BÁSICO]]/Tabela3[[#This Row],[TOTAL DE ALUNOS]]*100</f>
        <v>18.631178707224336</v>
      </c>
      <c r="L129" s="421">
        <f>Tabela3[[#This Row],[Básico]]*2</f>
        <v>37.262357414448672</v>
      </c>
      <c r="M129" s="421">
        <f>Tabela3[[#This Row],[TOTAL DE ALUNOS ADEQUADO]]/Tabela3[[#This Row],[TOTAL DE ALUNOS]]*100</f>
        <v>23.954372623574145</v>
      </c>
      <c r="N129" s="421">
        <f>Tabela3[[#This Row],[Adequado]]*3</f>
        <v>71.863117870722434</v>
      </c>
      <c r="O129" s="421">
        <f>Tabela3[[#This Row],[TOTAL DE ALUNOS AVANÇADO]]/Tabela3[[#This Row],[TOTAL DE ALUNOS]]*100</f>
        <v>22.433460076045627</v>
      </c>
      <c r="P129" s="422">
        <f>Tabela3[[#This Row],[Avançado]]*4</f>
        <v>89.733840304182507</v>
      </c>
      <c r="Q129" s="422">
        <f t="shared" si="7"/>
        <v>233.84030418250953</v>
      </c>
      <c r="R129" s="423">
        <f>Tabela3[[#This Row],[Participação]]*100</f>
        <v>86.8</v>
      </c>
      <c r="S129" s="422">
        <f t="shared" si="8"/>
        <v>233.84030418250953</v>
      </c>
      <c r="T129" s="421">
        <f>Tabela3[[#This Row],[Meta 2024]]*0.65</f>
        <v>154.989835</v>
      </c>
      <c r="U129" s="421">
        <v>238.44589999999999</v>
      </c>
      <c r="V129" s="422">
        <f t="shared" si="9"/>
        <v>0.94481412684038646</v>
      </c>
      <c r="W129" s="424">
        <f t="shared" si="10"/>
        <v>0.94481412684038646</v>
      </c>
    </row>
    <row r="130" spans="1:23">
      <c r="A130" s="418">
        <v>154</v>
      </c>
      <c r="B130" s="419" t="s">
        <v>178</v>
      </c>
      <c r="C130" s="418">
        <v>37</v>
      </c>
      <c r="D130" s="418">
        <v>19</v>
      </c>
      <c r="E130" s="418">
        <v>28</v>
      </c>
      <c r="F130" s="418">
        <v>26</v>
      </c>
      <c r="G130" s="418">
        <f t="shared" si="6"/>
        <v>110</v>
      </c>
      <c r="H130" s="420">
        <v>0.80289999999999995</v>
      </c>
      <c r="I130" s="421">
        <f>Tabela3[[#This Row],[TOTAL DE ALUNOS ABAIXO DO BÁSICO]]/Tabela3[[#This Row],[TOTAL DE ALUNOS]]*100</f>
        <v>33.636363636363633</v>
      </c>
      <c r="J130" s="421">
        <f>Tabela3[[#This Row],[Abaixo do Básico]]*1</f>
        <v>33.636363636363633</v>
      </c>
      <c r="K130" s="421">
        <f>Tabela3[[#This Row],[TOTAL DE ALUNOS NO BÁSICO]]/Tabela3[[#This Row],[TOTAL DE ALUNOS]]*100</f>
        <v>17.272727272727273</v>
      </c>
      <c r="L130" s="421">
        <f>Tabela3[[#This Row],[Básico]]*2</f>
        <v>34.545454545454547</v>
      </c>
      <c r="M130" s="421">
        <f>Tabela3[[#This Row],[TOTAL DE ALUNOS ADEQUADO]]/Tabela3[[#This Row],[TOTAL DE ALUNOS]]*100</f>
        <v>25.454545454545453</v>
      </c>
      <c r="N130" s="421">
        <f>Tabela3[[#This Row],[Adequado]]*3</f>
        <v>76.36363636363636</v>
      </c>
      <c r="O130" s="421">
        <f>Tabela3[[#This Row],[TOTAL DE ALUNOS AVANÇADO]]/Tabela3[[#This Row],[TOTAL DE ALUNOS]]*100</f>
        <v>23.636363636363637</v>
      </c>
      <c r="P130" s="422">
        <f>Tabela3[[#This Row],[Avançado]]*4</f>
        <v>94.545454545454547</v>
      </c>
      <c r="Q130" s="422">
        <f t="shared" si="7"/>
        <v>239.09090909090912</v>
      </c>
      <c r="R130" s="423">
        <f>Tabela3[[#This Row],[Participação]]*100</f>
        <v>80.289999999999992</v>
      </c>
      <c r="S130" s="422">
        <f t="shared" si="8"/>
        <v>239.09090909090912</v>
      </c>
      <c r="T130" s="421">
        <f>Tabela3[[#This Row],[Meta 2024]]*0.65</f>
        <v>149.454565</v>
      </c>
      <c r="U130" s="421">
        <v>229.93010000000001</v>
      </c>
      <c r="V130" s="422">
        <f t="shared" si="9"/>
        <v>1.1138334661696765</v>
      </c>
      <c r="W130" s="424">
        <f t="shared" si="10"/>
        <v>1</v>
      </c>
    </row>
    <row r="131" spans="1:23">
      <c r="A131" s="418">
        <v>156</v>
      </c>
      <c r="B131" s="419" t="s">
        <v>9</v>
      </c>
      <c r="C131" s="418">
        <v>40</v>
      </c>
      <c r="D131" s="418">
        <v>9</v>
      </c>
      <c r="E131" s="418">
        <v>6</v>
      </c>
      <c r="F131" s="418">
        <v>6</v>
      </c>
      <c r="G131" s="418">
        <f t="shared" si="6"/>
        <v>61</v>
      </c>
      <c r="H131" s="420">
        <v>0.91039999999999999</v>
      </c>
      <c r="I131" s="421">
        <f>Tabela3[[#This Row],[TOTAL DE ALUNOS ABAIXO DO BÁSICO]]/Tabela3[[#This Row],[TOTAL DE ALUNOS]]*100</f>
        <v>65.573770491803273</v>
      </c>
      <c r="J131" s="421">
        <f>Tabela3[[#This Row],[Abaixo do Básico]]*1</f>
        <v>65.573770491803273</v>
      </c>
      <c r="K131" s="421">
        <f>Tabela3[[#This Row],[TOTAL DE ALUNOS NO BÁSICO]]/Tabela3[[#This Row],[TOTAL DE ALUNOS]]*100</f>
        <v>14.754098360655737</v>
      </c>
      <c r="L131" s="421">
        <f>Tabela3[[#This Row],[Básico]]*2</f>
        <v>29.508196721311474</v>
      </c>
      <c r="M131" s="421">
        <f>Tabela3[[#This Row],[TOTAL DE ALUNOS ADEQUADO]]/Tabela3[[#This Row],[TOTAL DE ALUNOS]]*100</f>
        <v>9.8360655737704921</v>
      </c>
      <c r="N131" s="421">
        <f>Tabela3[[#This Row],[Adequado]]*3</f>
        <v>29.508196721311478</v>
      </c>
      <c r="O131" s="421">
        <f>Tabela3[[#This Row],[TOTAL DE ALUNOS AVANÇADO]]/Tabela3[[#This Row],[TOTAL DE ALUNOS]]*100</f>
        <v>9.8360655737704921</v>
      </c>
      <c r="P131" s="422">
        <f>Tabela3[[#This Row],[Avançado]]*4</f>
        <v>39.344262295081968</v>
      </c>
      <c r="Q131" s="422">
        <f t="shared" si="7"/>
        <v>163.9344262295082</v>
      </c>
      <c r="R131" s="423">
        <f>Tabela3[[#This Row],[Participação]]*100</f>
        <v>91.039999999999992</v>
      </c>
      <c r="S131" s="422">
        <f t="shared" si="8"/>
        <v>163.9344262295082</v>
      </c>
      <c r="T131" s="421">
        <f>Tabela3[[#This Row],[Meta 2024]]*0.65</f>
        <v>115.81817000000001</v>
      </c>
      <c r="U131" s="421">
        <v>178.18180000000001</v>
      </c>
      <c r="V131" s="422">
        <f t="shared" si="9"/>
        <v>0.7715435459659451</v>
      </c>
      <c r="W131" s="424">
        <f t="shared" si="10"/>
        <v>0.7715435459659451</v>
      </c>
    </row>
    <row r="132" spans="1:23">
      <c r="A132" s="418">
        <v>158</v>
      </c>
      <c r="B132" s="419" t="s">
        <v>74</v>
      </c>
      <c r="C132" s="418">
        <v>39</v>
      </c>
      <c r="D132" s="418">
        <v>12</v>
      </c>
      <c r="E132" s="418">
        <v>20</v>
      </c>
      <c r="F132" s="418">
        <v>15</v>
      </c>
      <c r="G132" s="418">
        <f t="shared" si="6"/>
        <v>86</v>
      </c>
      <c r="H132" s="420">
        <v>0.81899999999999995</v>
      </c>
      <c r="I132" s="421">
        <f>Tabela3[[#This Row],[TOTAL DE ALUNOS ABAIXO DO BÁSICO]]/Tabela3[[#This Row],[TOTAL DE ALUNOS]]*100</f>
        <v>45.348837209302324</v>
      </c>
      <c r="J132" s="421">
        <f>Tabela3[[#This Row],[Abaixo do Básico]]*1</f>
        <v>45.348837209302324</v>
      </c>
      <c r="K132" s="421">
        <f>Tabela3[[#This Row],[TOTAL DE ALUNOS NO BÁSICO]]/Tabela3[[#This Row],[TOTAL DE ALUNOS]]*100</f>
        <v>13.953488372093023</v>
      </c>
      <c r="L132" s="421">
        <f>Tabela3[[#This Row],[Básico]]*2</f>
        <v>27.906976744186046</v>
      </c>
      <c r="M132" s="421">
        <f>Tabela3[[#This Row],[TOTAL DE ALUNOS ADEQUADO]]/Tabela3[[#This Row],[TOTAL DE ALUNOS]]*100</f>
        <v>23.255813953488371</v>
      </c>
      <c r="N132" s="421">
        <f>Tabela3[[#This Row],[Adequado]]*3</f>
        <v>69.767441860465112</v>
      </c>
      <c r="O132" s="421">
        <f>Tabela3[[#This Row],[TOTAL DE ALUNOS AVANÇADO]]/Tabela3[[#This Row],[TOTAL DE ALUNOS]]*100</f>
        <v>17.441860465116278</v>
      </c>
      <c r="P132" s="422">
        <f>Tabela3[[#This Row],[Avançado]]*4</f>
        <v>69.767441860465112</v>
      </c>
      <c r="Q132" s="422">
        <f t="shared" si="7"/>
        <v>212.7906976744186</v>
      </c>
      <c r="R132" s="423">
        <f>Tabela3[[#This Row],[Participação]]*100</f>
        <v>81.899999999999991</v>
      </c>
      <c r="S132" s="422">
        <f t="shared" si="8"/>
        <v>212.7906976744186</v>
      </c>
      <c r="T132" s="421">
        <f>Tabela3[[#This Row],[Meta 2024]]*0.65</f>
        <v>135.17698999999999</v>
      </c>
      <c r="U132" s="421">
        <v>207.96459999999999</v>
      </c>
      <c r="V132" s="422">
        <f t="shared" si="9"/>
        <v>1.0663038348754494</v>
      </c>
      <c r="W132" s="424">
        <f t="shared" si="10"/>
        <v>1</v>
      </c>
    </row>
    <row r="133" spans="1:23">
      <c r="A133" s="418">
        <v>159</v>
      </c>
      <c r="B133" s="419" t="s">
        <v>86</v>
      </c>
      <c r="C133" s="418">
        <v>54</v>
      </c>
      <c r="D133" s="418">
        <v>21</v>
      </c>
      <c r="E133" s="418">
        <v>46</v>
      </c>
      <c r="F133" s="418">
        <v>64</v>
      </c>
      <c r="G133" s="418">
        <f t="shared" ref="G133:G196" si="11">SUM(C133:F133)</f>
        <v>185</v>
      </c>
      <c r="H133" s="420">
        <v>0.86850000000000005</v>
      </c>
      <c r="I133" s="421">
        <f>Tabela3[[#This Row],[TOTAL DE ALUNOS ABAIXO DO BÁSICO]]/Tabela3[[#This Row],[TOTAL DE ALUNOS]]*100</f>
        <v>29.189189189189189</v>
      </c>
      <c r="J133" s="421">
        <f>Tabela3[[#This Row],[Abaixo do Básico]]*1</f>
        <v>29.189189189189189</v>
      </c>
      <c r="K133" s="421">
        <f>Tabela3[[#This Row],[TOTAL DE ALUNOS NO BÁSICO]]/Tabela3[[#This Row],[TOTAL DE ALUNOS]]*100</f>
        <v>11.351351351351353</v>
      </c>
      <c r="L133" s="421">
        <f>Tabela3[[#This Row],[Básico]]*2</f>
        <v>22.702702702702705</v>
      </c>
      <c r="M133" s="421">
        <f>Tabela3[[#This Row],[TOTAL DE ALUNOS ADEQUADO]]/Tabela3[[#This Row],[TOTAL DE ALUNOS]]*100</f>
        <v>24.864864864864867</v>
      </c>
      <c r="N133" s="421">
        <f>Tabela3[[#This Row],[Adequado]]*3</f>
        <v>74.594594594594597</v>
      </c>
      <c r="O133" s="421">
        <f>Tabela3[[#This Row],[TOTAL DE ALUNOS AVANÇADO]]/Tabela3[[#This Row],[TOTAL DE ALUNOS]]*100</f>
        <v>34.594594594594597</v>
      </c>
      <c r="P133" s="422">
        <f>Tabela3[[#This Row],[Avançado]]*4</f>
        <v>138.37837837837839</v>
      </c>
      <c r="Q133" s="422">
        <f t="shared" ref="Q133:Q196" si="12">SUM(J133,L133,N133,P133)</f>
        <v>264.8648648648649</v>
      </c>
      <c r="R133" s="423">
        <f>Tabela3[[#This Row],[Participação]]*100</f>
        <v>86.850000000000009</v>
      </c>
      <c r="S133" s="422">
        <f t="shared" ref="S133:S196" si="13">IF(R133&gt;=$B$1,Q133,(R133*Q133)/100)</f>
        <v>264.8648648648649</v>
      </c>
      <c r="T133" s="421">
        <f>Tabela3[[#This Row],[Meta 2024]]*0.65</f>
        <v>142.96418499999999</v>
      </c>
      <c r="U133" s="421">
        <v>219.94489999999999</v>
      </c>
      <c r="V133" s="422">
        <f t="shared" ref="V133:V196" si="14">1-((U133-S133)/(U133-T133))</f>
        <v>1.5835223128918057</v>
      </c>
      <c r="W133" s="424">
        <f t="shared" ref="W133:W196" si="15">IF(V133&lt;0,0,IF(V133&lt;=1,V133,1))</f>
        <v>1</v>
      </c>
    </row>
    <row r="134" spans="1:23">
      <c r="A134" s="418">
        <v>161</v>
      </c>
      <c r="B134" s="419" t="s">
        <v>225</v>
      </c>
      <c r="C134" s="418">
        <v>21</v>
      </c>
      <c r="D134" s="418">
        <v>9</v>
      </c>
      <c r="E134" s="418">
        <v>14</v>
      </c>
      <c r="F134" s="418">
        <v>19</v>
      </c>
      <c r="G134" s="418">
        <f t="shared" si="11"/>
        <v>63</v>
      </c>
      <c r="H134" s="420">
        <v>1</v>
      </c>
      <c r="I134" s="421">
        <f>Tabela3[[#This Row],[TOTAL DE ALUNOS ABAIXO DO BÁSICO]]/Tabela3[[#This Row],[TOTAL DE ALUNOS]]*100</f>
        <v>33.333333333333329</v>
      </c>
      <c r="J134" s="421">
        <f>Tabela3[[#This Row],[Abaixo do Básico]]*1</f>
        <v>33.333333333333329</v>
      </c>
      <c r="K134" s="421">
        <f>Tabela3[[#This Row],[TOTAL DE ALUNOS NO BÁSICO]]/Tabela3[[#This Row],[TOTAL DE ALUNOS]]*100</f>
        <v>14.285714285714285</v>
      </c>
      <c r="L134" s="421">
        <f>Tabela3[[#This Row],[Básico]]*2</f>
        <v>28.571428571428569</v>
      </c>
      <c r="M134" s="421">
        <f>Tabela3[[#This Row],[TOTAL DE ALUNOS ADEQUADO]]/Tabela3[[#This Row],[TOTAL DE ALUNOS]]*100</f>
        <v>22.222222222222221</v>
      </c>
      <c r="N134" s="421">
        <f>Tabela3[[#This Row],[Adequado]]*3</f>
        <v>66.666666666666657</v>
      </c>
      <c r="O134" s="421">
        <f>Tabela3[[#This Row],[TOTAL DE ALUNOS AVANÇADO]]/Tabela3[[#This Row],[TOTAL DE ALUNOS]]*100</f>
        <v>30.158730158730158</v>
      </c>
      <c r="P134" s="422">
        <f>Tabela3[[#This Row],[Avançado]]*4</f>
        <v>120.63492063492063</v>
      </c>
      <c r="Q134" s="422">
        <f t="shared" si="12"/>
        <v>249.20634920634919</v>
      </c>
      <c r="R134" s="423">
        <f>Tabela3[[#This Row],[Participação]]*100</f>
        <v>100</v>
      </c>
      <c r="S134" s="422">
        <f t="shared" si="13"/>
        <v>249.20634920634919</v>
      </c>
      <c r="T134" s="421">
        <f>Tabela3[[#This Row],[Meta 2024]]*0.65</f>
        <v>151.72729000000001</v>
      </c>
      <c r="U134" s="421">
        <v>233.42660000000001</v>
      </c>
      <c r="V134" s="422">
        <f t="shared" si="14"/>
        <v>1.1931442163507768</v>
      </c>
      <c r="W134" s="424">
        <f t="shared" si="15"/>
        <v>1</v>
      </c>
    </row>
    <row r="135" spans="1:23">
      <c r="A135" s="418">
        <v>162</v>
      </c>
      <c r="B135" s="419" t="s">
        <v>206</v>
      </c>
      <c r="C135" s="418">
        <v>20</v>
      </c>
      <c r="D135" s="418">
        <v>11</v>
      </c>
      <c r="E135" s="418">
        <v>9</v>
      </c>
      <c r="F135" s="418">
        <v>11</v>
      </c>
      <c r="G135" s="418">
        <f t="shared" si="11"/>
        <v>51</v>
      </c>
      <c r="H135" s="420">
        <v>0.94440000000000002</v>
      </c>
      <c r="I135" s="421">
        <f>Tabela3[[#This Row],[TOTAL DE ALUNOS ABAIXO DO BÁSICO]]/Tabela3[[#This Row],[TOTAL DE ALUNOS]]*100</f>
        <v>39.215686274509807</v>
      </c>
      <c r="J135" s="421">
        <f>Tabela3[[#This Row],[Abaixo do Básico]]*1</f>
        <v>39.215686274509807</v>
      </c>
      <c r="K135" s="421">
        <f>Tabela3[[#This Row],[TOTAL DE ALUNOS NO BÁSICO]]/Tabela3[[#This Row],[TOTAL DE ALUNOS]]*100</f>
        <v>21.568627450980394</v>
      </c>
      <c r="L135" s="421">
        <f>Tabela3[[#This Row],[Básico]]*2</f>
        <v>43.137254901960787</v>
      </c>
      <c r="M135" s="421">
        <f>Tabela3[[#This Row],[TOTAL DE ALUNOS ADEQUADO]]/Tabela3[[#This Row],[TOTAL DE ALUNOS]]*100</f>
        <v>17.647058823529413</v>
      </c>
      <c r="N135" s="421">
        <f>Tabela3[[#This Row],[Adequado]]*3</f>
        <v>52.941176470588239</v>
      </c>
      <c r="O135" s="421">
        <f>Tabela3[[#This Row],[TOTAL DE ALUNOS AVANÇADO]]/Tabela3[[#This Row],[TOTAL DE ALUNOS]]*100</f>
        <v>21.568627450980394</v>
      </c>
      <c r="P135" s="422">
        <f>Tabela3[[#This Row],[Avançado]]*4</f>
        <v>86.274509803921575</v>
      </c>
      <c r="Q135" s="422">
        <f t="shared" si="12"/>
        <v>221.56862745098042</v>
      </c>
      <c r="R135" s="423">
        <f>Tabela3[[#This Row],[Participação]]*100</f>
        <v>94.44</v>
      </c>
      <c r="S135" s="422">
        <f t="shared" si="13"/>
        <v>221.56862745098042</v>
      </c>
      <c r="T135" s="421">
        <f>Tabela3[[#This Row],[Meta 2024]]*0.65</f>
        <v>129.32465000000002</v>
      </c>
      <c r="U135" s="421">
        <v>198.96100000000001</v>
      </c>
      <c r="V135" s="422">
        <f t="shared" si="14"/>
        <v>1.3246526771001124</v>
      </c>
      <c r="W135" s="424">
        <f t="shared" si="15"/>
        <v>1</v>
      </c>
    </row>
    <row r="136" spans="1:23">
      <c r="A136" s="418">
        <v>164</v>
      </c>
      <c r="B136" s="419" t="s">
        <v>127</v>
      </c>
      <c r="C136" s="418">
        <v>26</v>
      </c>
      <c r="D136" s="418">
        <v>9</v>
      </c>
      <c r="E136" s="418">
        <v>24</v>
      </c>
      <c r="F136" s="418">
        <v>13</v>
      </c>
      <c r="G136" s="418">
        <f t="shared" si="11"/>
        <v>72</v>
      </c>
      <c r="H136" s="420">
        <v>0.96</v>
      </c>
      <c r="I136" s="421">
        <f>Tabela3[[#This Row],[TOTAL DE ALUNOS ABAIXO DO BÁSICO]]/Tabela3[[#This Row],[TOTAL DE ALUNOS]]*100</f>
        <v>36.111111111111107</v>
      </c>
      <c r="J136" s="421">
        <f>Tabela3[[#This Row],[Abaixo do Básico]]*1</f>
        <v>36.111111111111107</v>
      </c>
      <c r="K136" s="421">
        <f>Tabela3[[#This Row],[TOTAL DE ALUNOS NO BÁSICO]]/Tabela3[[#This Row],[TOTAL DE ALUNOS]]*100</f>
        <v>12.5</v>
      </c>
      <c r="L136" s="421">
        <f>Tabela3[[#This Row],[Básico]]*2</f>
        <v>25</v>
      </c>
      <c r="M136" s="421">
        <f>Tabela3[[#This Row],[TOTAL DE ALUNOS ADEQUADO]]/Tabela3[[#This Row],[TOTAL DE ALUNOS]]*100</f>
        <v>33.333333333333329</v>
      </c>
      <c r="N136" s="421">
        <f>Tabela3[[#This Row],[Adequado]]*3</f>
        <v>99.999999999999986</v>
      </c>
      <c r="O136" s="421">
        <f>Tabela3[[#This Row],[TOTAL DE ALUNOS AVANÇADO]]/Tabela3[[#This Row],[TOTAL DE ALUNOS]]*100</f>
        <v>18.055555555555554</v>
      </c>
      <c r="P136" s="422">
        <f>Tabela3[[#This Row],[Avançado]]*4</f>
        <v>72.222222222222214</v>
      </c>
      <c r="Q136" s="422">
        <f t="shared" si="12"/>
        <v>233.33333333333331</v>
      </c>
      <c r="R136" s="423">
        <f>Tabela3[[#This Row],[Participação]]*100</f>
        <v>96</v>
      </c>
      <c r="S136" s="422">
        <f t="shared" si="13"/>
        <v>233.33333333333331</v>
      </c>
      <c r="T136" s="421">
        <f>Tabela3[[#This Row],[Meta 2024]]*0.65</f>
        <v>138.310835</v>
      </c>
      <c r="U136" s="421">
        <v>212.7859</v>
      </c>
      <c r="V136" s="422">
        <f t="shared" si="14"/>
        <v>1.2758968163818765</v>
      </c>
      <c r="W136" s="424">
        <f t="shared" si="15"/>
        <v>1</v>
      </c>
    </row>
    <row r="137" spans="1:23">
      <c r="A137" s="418">
        <v>165</v>
      </c>
      <c r="B137" s="419" t="s">
        <v>16</v>
      </c>
      <c r="C137" s="418">
        <v>28</v>
      </c>
      <c r="D137" s="418">
        <v>8</v>
      </c>
      <c r="E137" s="418">
        <v>25</v>
      </c>
      <c r="F137" s="418">
        <v>40</v>
      </c>
      <c r="G137" s="418">
        <f t="shared" si="11"/>
        <v>101</v>
      </c>
      <c r="H137" s="420">
        <v>0.87070000000000003</v>
      </c>
      <c r="I137" s="421">
        <f>Tabela3[[#This Row],[TOTAL DE ALUNOS ABAIXO DO BÁSICO]]/Tabela3[[#This Row],[TOTAL DE ALUNOS]]*100</f>
        <v>27.722772277227726</v>
      </c>
      <c r="J137" s="421">
        <f>Tabela3[[#This Row],[Abaixo do Básico]]*1</f>
        <v>27.722772277227726</v>
      </c>
      <c r="K137" s="421">
        <f>Tabela3[[#This Row],[TOTAL DE ALUNOS NO BÁSICO]]/Tabela3[[#This Row],[TOTAL DE ALUNOS]]*100</f>
        <v>7.9207920792079207</v>
      </c>
      <c r="L137" s="421">
        <f>Tabela3[[#This Row],[Básico]]*2</f>
        <v>15.841584158415841</v>
      </c>
      <c r="M137" s="421">
        <f>Tabela3[[#This Row],[TOTAL DE ALUNOS ADEQUADO]]/Tabela3[[#This Row],[TOTAL DE ALUNOS]]*100</f>
        <v>24.752475247524753</v>
      </c>
      <c r="N137" s="421">
        <f>Tabela3[[#This Row],[Adequado]]*3</f>
        <v>74.257425742574256</v>
      </c>
      <c r="O137" s="421">
        <f>Tabela3[[#This Row],[TOTAL DE ALUNOS AVANÇADO]]/Tabela3[[#This Row],[TOTAL DE ALUNOS]]*100</f>
        <v>39.603960396039604</v>
      </c>
      <c r="P137" s="422">
        <f>Tabela3[[#This Row],[Avançado]]*4</f>
        <v>158.41584158415841</v>
      </c>
      <c r="Q137" s="422">
        <f t="shared" si="12"/>
        <v>276.23762376237624</v>
      </c>
      <c r="R137" s="423">
        <f>Tabela3[[#This Row],[Participação]]*100</f>
        <v>87.070000000000007</v>
      </c>
      <c r="S137" s="422">
        <f t="shared" si="13"/>
        <v>276.23762376237624</v>
      </c>
      <c r="T137" s="421">
        <f>Tabela3[[#This Row],[Meta 2024]]*0.65</f>
        <v>198.76694499999999</v>
      </c>
      <c r="U137" s="421">
        <v>305.7953</v>
      </c>
      <c r="V137" s="422">
        <f t="shared" si="14"/>
        <v>0.7238332193592647</v>
      </c>
      <c r="W137" s="424">
        <f t="shared" si="15"/>
        <v>0.7238332193592647</v>
      </c>
    </row>
    <row r="138" spans="1:23">
      <c r="A138" s="418">
        <v>166</v>
      </c>
      <c r="B138" s="419" t="s">
        <v>72</v>
      </c>
      <c r="C138" s="418">
        <v>26</v>
      </c>
      <c r="D138" s="418">
        <v>12</v>
      </c>
      <c r="E138" s="418">
        <v>29</v>
      </c>
      <c r="F138" s="418">
        <v>40</v>
      </c>
      <c r="G138" s="418">
        <f t="shared" si="11"/>
        <v>107</v>
      </c>
      <c r="H138" s="420">
        <v>0.9304</v>
      </c>
      <c r="I138" s="421">
        <f>Tabela3[[#This Row],[TOTAL DE ALUNOS ABAIXO DO BÁSICO]]/Tabela3[[#This Row],[TOTAL DE ALUNOS]]*100</f>
        <v>24.299065420560748</v>
      </c>
      <c r="J138" s="421">
        <f>Tabela3[[#This Row],[Abaixo do Básico]]*1</f>
        <v>24.299065420560748</v>
      </c>
      <c r="K138" s="421">
        <f>Tabela3[[#This Row],[TOTAL DE ALUNOS NO BÁSICO]]/Tabela3[[#This Row],[TOTAL DE ALUNOS]]*100</f>
        <v>11.214953271028037</v>
      </c>
      <c r="L138" s="421">
        <f>Tabela3[[#This Row],[Básico]]*2</f>
        <v>22.429906542056074</v>
      </c>
      <c r="M138" s="421">
        <f>Tabela3[[#This Row],[TOTAL DE ALUNOS ADEQUADO]]/Tabela3[[#This Row],[TOTAL DE ALUNOS]]*100</f>
        <v>27.102803738317753</v>
      </c>
      <c r="N138" s="421">
        <f>Tabela3[[#This Row],[Adequado]]*3</f>
        <v>81.308411214953253</v>
      </c>
      <c r="O138" s="421">
        <f>Tabela3[[#This Row],[TOTAL DE ALUNOS AVANÇADO]]/Tabela3[[#This Row],[TOTAL DE ALUNOS]]*100</f>
        <v>37.383177570093459</v>
      </c>
      <c r="P138" s="422">
        <f>Tabela3[[#This Row],[Avançado]]*4</f>
        <v>149.53271028037383</v>
      </c>
      <c r="Q138" s="422">
        <f t="shared" si="12"/>
        <v>277.57009345794393</v>
      </c>
      <c r="R138" s="423">
        <f>Tabela3[[#This Row],[Participação]]*100</f>
        <v>93.04</v>
      </c>
      <c r="S138" s="422">
        <f t="shared" si="13"/>
        <v>277.57009345794393</v>
      </c>
      <c r="T138" s="421">
        <f>Tabela3[[#This Row],[Meta 2024]]*0.65</f>
        <v>151.87659500000001</v>
      </c>
      <c r="U138" s="421">
        <v>233.65629999999999</v>
      </c>
      <c r="V138" s="422">
        <f t="shared" si="14"/>
        <v>1.5369766674744541</v>
      </c>
      <c r="W138" s="424">
        <f t="shared" si="15"/>
        <v>1</v>
      </c>
    </row>
    <row r="139" spans="1:23">
      <c r="A139" s="418">
        <v>169</v>
      </c>
      <c r="B139" s="419" t="s">
        <v>108</v>
      </c>
      <c r="C139" s="418">
        <v>46</v>
      </c>
      <c r="D139" s="418">
        <v>15</v>
      </c>
      <c r="E139" s="418">
        <v>25</v>
      </c>
      <c r="F139" s="418">
        <v>27</v>
      </c>
      <c r="G139" s="418">
        <f t="shared" si="11"/>
        <v>113</v>
      </c>
      <c r="H139" s="420">
        <v>0.73380000000000001</v>
      </c>
      <c r="I139" s="421">
        <f>Tabela3[[#This Row],[TOTAL DE ALUNOS ABAIXO DO BÁSICO]]/Tabela3[[#This Row],[TOTAL DE ALUNOS]]*100</f>
        <v>40.707964601769916</v>
      </c>
      <c r="J139" s="421">
        <f>Tabela3[[#This Row],[Abaixo do Básico]]*1</f>
        <v>40.707964601769916</v>
      </c>
      <c r="K139" s="421">
        <f>Tabela3[[#This Row],[TOTAL DE ALUNOS NO BÁSICO]]/Tabela3[[#This Row],[TOTAL DE ALUNOS]]*100</f>
        <v>13.274336283185843</v>
      </c>
      <c r="L139" s="421">
        <f>Tabela3[[#This Row],[Básico]]*2</f>
        <v>26.548672566371685</v>
      </c>
      <c r="M139" s="421">
        <f>Tabela3[[#This Row],[TOTAL DE ALUNOS ADEQUADO]]/Tabela3[[#This Row],[TOTAL DE ALUNOS]]*100</f>
        <v>22.123893805309734</v>
      </c>
      <c r="N139" s="421">
        <f>Tabela3[[#This Row],[Adequado]]*3</f>
        <v>66.371681415929203</v>
      </c>
      <c r="O139" s="421">
        <f>Tabela3[[#This Row],[TOTAL DE ALUNOS AVANÇADO]]/Tabela3[[#This Row],[TOTAL DE ALUNOS]]*100</f>
        <v>23.893805309734514</v>
      </c>
      <c r="P139" s="422">
        <f>Tabela3[[#This Row],[Avançado]]*4</f>
        <v>95.575221238938056</v>
      </c>
      <c r="Q139" s="422">
        <f t="shared" si="12"/>
        <v>229.20353982300884</v>
      </c>
      <c r="R139" s="423">
        <f>Tabela3[[#This Row],[Participação]]*100</f>
        <v>73.38</v>
      </c>
      <c r="S139" s="422">
        <f t="shared" si="13"/>
        <v>229.20353982300884</v>
      </c>
      <c r="T139" s="421">
        <f>Tabela3[[#This Row],[Meta 2024]]*0.65</f>
        <v>138.50356000000002</v>
      </c>
      <c r="U139" s="421">
        <v>213.08240000000001</v>
      </c>
      <c r="V139" s="422">
        <f t="shared" si="14"/>
        <v>1.2161623836333313</v>
      </c>
      <c r="W139" s="424">
        <f t="shared" si="15"/>
        <v>1</v>
      </c>
    </row>
    <row r="140" spans="1:23">
      <c r="A140" s="418">
        <v>170</v>
      </c>
      <c r="B140" s="419" t="s">
        <v>18</v>
      </c>
      <c r="C140" s="418">
        <v>74</v>
      </c>
      <c r="D140" s="418">
        <v>38</v>
      </c>
      <c r="E140" s="418">
        <v>40</v>
      </c>
      <c r="F140" s="418">
        <v>28</v>
      </c>
      <c r="G140" s="418">
        <f t="shared" si="11"/>
        <v>180</v>
      </c>
      <c r="H140" s="420">
        <v>0.92310000000000003</v>
      </c>
      <c r="I140" s="421">
        <f>Tabela3[[#This Row],[TOTAL DE ALUNOS ABAIXO DO BÁSICO]]/Tabela3[[#This Row],[TOTAL DE ALUNOS]]*100</f>
        <v>41.111111111111107</v>
      </c>
      <c r="J140" s="421">
        <f>Tabela3[[#This Row],[Abaixo do Básico]]*1</f>
        <v>41.111111111111107</v>
      </c>
      <c r="K140" s="421">
        <f>Tabela3[[#This Row],[TOTAL DE ALUNOS NO BÁSICO]]/Tabela3[[#This Row],[TOTAL DE ALUNOS]]*100</f>
        <v>21.111111111111111</v>
      </c>
      <c r="L140" s="421">
        <f>Tabela3[[#This Row],[Básico]]*2</f>
        <v>42.222222222222221</v>
      </c>
      <c r="M140" s="421">
        <f>Tabela3[[#This Row],[TOTAL DE ALUNOS ADEQUADO]]/Tabela3[[#This Row],[TOTAL DE ALUNOS]]*100</f>
        <v>22.222222222222221</v>
      </c>
      <c r="N140" s="421">
        <f>Tabela3[[#This Row],[Adequado]]*3</f>
        <v>66.666666666666657</v>
      </c>
      <c r="O140" s="421">
        <f>Tabela3[[#This Row],[TOTAL DE ALUNOS AVANÇADO]]/Tabela3[[#This Row],[TOTAL DE ALUNOS]]*100</f>
        <v>15.555555555555555</v>
      </c>
      <c r="P140" s="422">
        <f>Tabela3[[#This Row],[Avançado]]*4</f>
        <v>62.222222222222221</v>
      </c>
      <c r="Q140" s="422">
        <f t="shared" si="12"/>
        <v>212.22222222222223</v>
      </c>
      <c r="R140" s="423">
        <f>Tabela3[[#This Row],[Participação]]*100</f>
        <v>92.31</v>
      </c>
      <c r="S140" s="422">
        <f t="shared" si="13"/>
        <v>212.22222222222223</v>
      </c>
      <c r="T140" s="421">
        <f>Tabela3[[#This Row],[Meta 2024]]*0.65</f>
        <v>131.73784000000001</v>
      </c>
      <c r="U140" s="421">
        <v>202.67359999999999</v>
      </c>
      <c r="V140" s="422">
        <f t="shared" si="14"/>
        <v>1.1346094300282712</v>
      </c>
      <c r="W140" s="424">
        <f t="shared" si="15"/>
        <v>1</v>
      </c>
    </row>
    <row r="141" spans="1:23">
      <c r="A141" s="418">
        <v>172</v>
      </c>
      <c r="B141" s="419" t="s">
        <v>87</v>
      </c>
      <c r="C141" s="418">
        <v>69</v>
      </c>
      <c r="D141" s="418">
        <v>30</v>
      </c>
      <c r="E141" s="418">
        <v>50</v>
      </c>
      <c r="F141" s="418">
        <v>24</v>
      </c>
      <c r="G141" s="418">
        <f t="shared" si="11"/>
        <v>173</v>
      </c>
      <c r="H141" s="420">
        <v>0.94540000000000002</v>
      </c>
      <c r="I141" s="421">
        <f>Tabela3[[#This Row],[TOTAL DE ALUNOS ABAIXO DO BÁSICO]]/Tabela3[[#This Row],[TOTAL DE ALUNOS]]*100</f>
        <v>39.884393063583815</v>
      </c>
      <c r="J141" s="421">
        <f>Tabela3[[#This Row],[Abaixo do Básico]]*1</f>
        <v>39.884393063583815</v>
      </c>
      <c r="K141" s="421">
        <f>Tabela3[[#This Row],[TOTAL DE ALUNOS NO BÁSICO]]/Tabela3[[#This Row],[TOTAL DE ALUNOS]]*100</f>
        <v>17.341040462427745</v>
      </c>
      <c r="L141" s="421">
        <f>Tabela3[[#This Row],[Básico]]*2</f>
        <v>34.682080924855491</v>
      </c>
      <c r="M141" s="421">
        <f>Tabela3[[#This Row],[TOTAL DE ALUNOS ADEQUADO]]/Tabela3[[#This Row],[TOTAL DE ALUNOS]]*100</f>
        <v>28.901734104046245</v>
      </c>
      <c r="N141" s="421">
        <f>Tabela3[[#This Row],[Adequado]]*3</f>
        <v>86.705202312138738</v>
      </c>
      <c r="O141" s="421">
        <f>Tabela3[[#This Row],[TOTAL DE ALUNOS AVANÇADO]]/Tabela3[[#This Row],[TOTAL DE ALUNOS]]*100</f>
        <v>13.872832369942195</v>
      </c>
      <c r="P141" s="422">
        <f>Tabela3[[#This Row],[Avançado]]*4</f>
        <v>55.49132947976878</v>
      </c>
      <c r="Q141" s="422">
        <f t="shared" si="12"/>
        <v>216.76300578034682</v>
      </c>
      <c r="R141" s="423">
        <f>Tabela3[[#This Row],[Participação]]*100</f>
        <v>94.54</v>
      </c>
      <c r="S141" s="422">
        <f t="shared" si="13"/>
        <v>216.76300578034682</v>
      </c>
      <c r="T141" s="421">
        <f>Tabela3[[#This Row],[Meta 2024]]*0.65</f>
        <v>123.86172500000001</v>
      </c>
      <c r="U141" s="421">
        <v>190.5565</v>
      </c>
      <c r="V141" s="422">
        <f t="shared" si="14"/>
        <v>1.3929319167857874</v>
      </c>
      <c r="W141" s="424">
        <f t="shared" si="15"/>
        <v>1</v>
      </c>
    </row>
    <row r="142" spans="1:23">
      <c r="A142" s="418">
        <v>179</v>
      </c>
      <c r="B142" s="419" t="s">
        <v>186</v>
      </c>
      <c r="C142" s="418">
        <v>41</v>
      </c>
      <c r="D142" s="418">
        <v>6</v>
      </c>
      <c r="E142" s="418">
        <v>28</v>
      </c>
      <c r="F142" s="418">
        <v>20</v>
      </c>
      <c r="G142" s="418">
        <f t="shared" si="11"/>
        <v>95</v>
      </c>
      <c r="H142" s="420">
        <v>0.95960000000000001</v>
      </c>
      <c r="I142" s="421">
        <f>Tabela3[[#This Row],[TOTAL DE ALUNOS ABAIXO DO BÁSICO]]/Tabela3[[#This Row],[TOTAL DE ALUNOS]]*100</f>
        <v>43.15789473684211</v>
      </c>
      <c r="J142" s="421">
        <f>Tabela3[[#This Row],[Abaixo do Básico]]*1</f>
        <v>43.15789473684211</v>
      </c>
      <c r="K142" s="421">
        <f>Tabela3[[#This Row],[TOTAL DE ALUNOS NO BÁSICO]]/Tabela3[[#This Row],[TOTAL DE ALUNOS]]*100</f>
        <v>6.3157894736842106</v>
      </c>
      <c r="L142" s="421">
        <f>Tabela3[[#This Row],[Básico]]*2</f>
        <v>12.631578947368421</v>
      </c>
      <c r="M142" s="421">
        <f>Tabela3[[#This Row],[TOTAL DE ALUNOS ADEQUADO]]/Tabela3[[#This Row],[TOTAL DE ALUNOS]]*100</f>
        <v>29.473684210526311</v>
      </c>
      <c r="N142" s="421">
        <f>Tabela3[[#This Row],[Adequado]]*3</f>
        <v>88.421052631578931</v>
      </c>
      <c r="O142" s="421">
        <f>Tabela3[[#This Row],[TOTAL DE ALUNOS AVANÇADO]]/Tabela3[[#This Row],[TOTAL DE ALUNOS]]*100</f>
        <v>21.052631578947366</v>
      </c>
      <c r="P142" s="422">
        <f>Tabela3[[#This Row],[Avançado]]*4</f>
        <v>84.210526315789465</v>
      </c>
      <c r="Q142" s="422">
        <f t="shared" si="12"/>
        <v>228.42105263157896</v>
      </c>
      <c r="R142" s="423">
        <f>Tabela3[[#This Row],[Participação]]*100</f>
        <v>95.960000000000008</v>
      </c>
      <c r="S142" s="422">
        <f t="shared" si="13"/>
        <v>228.42105263157896</v>
      </c>
      <c r="T142" s="421">
        <f>Tabela3[[#This Row],[Meta 2024]]*0.65</f>
        <v>144.55259000000001</v>
      </c>
      <c r="U142" s="421">
        <v>222.3886</v>
      </c>
      <c r="V142" s="422">
        <f t="shared" si="14"/>
        <v>1.0775020794562691</v>
      </c>
      <c r="W142" s="424">
        <f t="shared" si="15"/>
        <v>1</v>
      </c>
    </row>
    <row r="143" spans="1:23">
      <c r="A143" s="418">
        <v>180</v>
      </c>
      <c r="B143" s="419" t="s">
        <v>167</v>
      </c>
      <c r="C143" s="418">
        <v>12</v>
      </c>
      <c r="D143" s="418">
        <v>7</v>
      </c>
      <c r="E143" s="418">
        <v>14</v>
      </c>
      <c r="F143" s="418">
        <v>17</v>
      </c>
      <c r="G143" s="418">
        <f t="shared" si="11"/>
        <v>50</v>
      </c>
      <c r="H143" s="420">
        <v>0.94340000000000002</v>
      </c>
      <c r="I143" s="421">
        <f>Tabela3[[#This Row],[TOTAL DE ALUNOS ABAIXO DO BÁSICO]]/Tabela3[[#This Row],[TOTAL DE ALUNOS]]*100</f>
        <v>24</v>
      </c>
      <c r="J143" s="421">
        <f>Tabela3[[#This Row],[Abaixo do Básico]]*1</f>
        <v>24</v>
      </c>
      <c r="K143" s="421">
        <f>Tabela3[[#This Row],[TOTAL DE ALUNOS NO BÁSICO]]/Tabela3[[#This Row],[TOTAL DE ALUNOS]]*100</f>
        <v>14.000000000000002</v>
      </c>
      <c r="L143" s="421">
        <f>Tabela3[[#This Row],[Básico]]*2</f>
        <v>28.000000000000004</v>
      </c>
      <c r="M143" s="421">
        <f>Tabela3[[#This Row],[TOTAL DE ALUNOS ADEQUADO]]/Tabela3[[#This Row],[TOTAL DE ALUNOS]]*100</f>
        <v>28.000000000000004</v>
      </c>
      <c r="N143" s="421">
        <f>Tabela3[[#This Row],[Adequado]]*3</f>
        <v>84.000000000000014</v>
      </c>
      <c r="O143" s="421">
        <f>Tabela3[[#This Row],[TOTAL DE ALUNOS AVANÇADO]]/Tabela3[[#This Row],[TOTAL DE ALUNOS]]*100</f>
        <v>34</v>
      </c>
      <c r="P143" s="422">
        <f>Tabela3[[#This Row],[Avançado]]*4</f>
        <v>136</v>
      </c>
      <c r="Q143" s="422">
        <f t="shared" si="12"/>
        <v>272</v>
      </c>
      <c r="R143" s="423">
        <f>Tabela3[[#This Row],[Participação]]*100</f>
        <v>94.34</v>
      </c>
      <c r="S143" s="422">
        <f t="shared" si="13"/>
        <v>272</v>
      </c>
      <c r="T143" s="421">
        <f>Tabela3[[#This Row],[Meta 2024]]*0.65</f>
        <v>143.73319999999998</v>
      </c>
      <c r="U143" s="421">
        <v>221.12799999999999</v>
      </c>
      <c r="V143" s="422">
        <f t="shared" si="14"/>
        <v>1.6573051419475213</v>
      </c>
      <c r="W143" s="424">
        <f t="shared" si="15"/>
        <v>1</v>
      </c>
    </row>
    <row r="144" spans="1:23">
      <c r="A144" s="418">
        <v>181</v>
      </c>
      <c r="B144" s="419" t="s">
        <v>89</v>
      </c>
      <c r="C144" s="418">
        <v>35</v>
      </c>
      <c r="D144" s="418">
        <v>14</v>
      </c>
      <c r="E144" s="418">
        <v>21</v>
      </c>
      <c r="F144" s="418">
        <v>25</v>
      </c>
      <c r="G144" s="418">
        <f t="shared" si="11"/>
        <v>95</v>
      </c>
      <c r="H144" s="420">
        <v>0.83330000000000004</v>
      </c>
      <c r="I144" s="421">
        <f>Tabela3[[#This Row],[TOTAL DE ALUNOS ABAIXO DO BÁSICO]]/Tabela3[[#This Row],[TOTAL DE ALUNOS]]*100</f>
        <v>36.84210526315789</v>
      </c>
      <c r="J144" s="421">
        <f>Tabela3[[#This Row],[Abaixo do Básico]]*1</f>
        <v>36.84210526315789</v>
      </c>
      <c r="K144" s="421">
        <f>Tabela3[[#This Row],[TOTAL DE ALUNOS NO BÁSICO]]/Tabela3[[#This Row],[TOTAL DE ALUNOS]]*100</f>
        <v>14.736842105263156</v>
      </c>
      <c r="L144" s="421">
        <f>Tabela3[[#This Row],[Básico]]*2</f>
        <v>29.473684210526311</v>
      </c>
      <c r="M144" s="421">
        <f>Tabela3[[#This Row],[TOTAL DE ALUNOS ADEQUADO]]/Tabela3[[#This Row],[TOTAL DE ALUNOS]]*100</f>
        <v>22.105263157894736</v>
      </c>
      <c r="N144" s="421">
        <f>Tabela3[[#This Row],[Adequado]]*3</f>
        <v>66.315789473684205</v>
      </c>
      <c r="O144" s="421">
        <f>Tabela3[[#This Row],[TOTAL DE ALUNOS AVANÇADO]]/Tabela3[[#This Row],[TOTAL DE ALUNOS]]*100</f>
        <v>26.315789473684209</v>
      </c>
      <c r="P144" s="422">
        <f>Tabela3[[#This Row],[Avançado]]*4</f>
        <v>105.26315789473684</v>
      </c>
      <c r="Q144" s="422">
        <f t="shared" si="12"/>
        <v>237.89473684210526</v>
      </c>
      <c r="R144" s="423">
        <f>Tabela3[[#This Row],[Participação]]*100</f>
        <v>83.33</v>
      </c>
      <c r="S144" s="422">
        <f t="shared" si="13"/>
        <v>237.89473684210526</v>
      </c>
      <c r="T144" s="421">
        <f>Tabela3[[#This Row],[Meta 2024]]*0.65</f>
        <v>137.39290500000001</v>
      </c>
      <c r="U144" s="421">
        <v>211.37370000000001</v>
      </c>
      <c r="V144" s="422">
        <f t="shared" si="14"/>
        <v>1.3584854264151289</v>
      </c>
      <c r="W144" s="424">
        <f t="shared" si="15"/>
        <v>1</v>
      </c>
    </row>
    <row r="145" spans="1:23">
      <c r="A145" s="418">
        <v>185</v>
      </c>
      <c r="B145" s="419" t="s">
        <v>162</v>
      </c>
      <c r="C145" s="418">
        <v>53</v>
      </c>
      <c r="D145" s="418">
        <v>20</v>
      </c>
      <c r="E145" s="418">
        <v>32</v>
      </c>
      <c r="F145" s="418">
        <v>38</v>
      </c>
      <c r="G145" s="418">
        <f t="shared" si="11"/>
        <v>143</v>
      </c>
      <c r="H145" s="420">
        <v>0.8125</v>
      </c>
      <c r="I145" s="421">
        <f>Tabela3[[#This Row],[TOTAL DE ALUNOS ABAIXO DO BÁSICO]]/Tabela3[[#This Row],[TOTAL DE ALUNOS]]*100</f>
        <v>37.06293706293706</v>
      </c>
      <c r="J145" s="421">
        <f>Tabela3[[#This Row],[Abaixo do Básico]]*1</f>
        <v>37.06293706293706</v>
      </c>
      <c r="K145" s="421">
        <f>Tabela3[[#This Row],[TOTAL DE ALUNOS NO BÁSICO]]/Tabela3[[#This Row],[TOTAL DE ALUNOS]]*100</f>
        <v>13.986013986013987</v>
      </c>
      <c r="L145" s="421">
        <f>Tabela3[[#This Row],[Básico]]*2</f>
        <v>27.972027972027973</v>
      </c>
      <c r="M145" s="421">
        <f>Tabela3[[#This Row],[TOTAL DE ALUNOS ADEQUADO]]/Tabela3[[#This Row],[TOTAL DE ALUNOS]]*100</f>
        <v>22.377622377622377</v>
      </c>
      <c r="N145" s="421">
        <f>Tabela3[[#This Row],[Adequado]]*3</f>
        <v>67.132867132867133</v>
      </c>
      <c r="O145" s="421">
        <f>Tabela3[[#This Row],[TOTAL DE ALUNOS AVANÇADO]]/Tabela3[[#This Row],[TOTAL DE ALUNOS]]*100</f>
        <v>26.573426573426573</v>
      </c>
      <c r="P145" s="422">
        <f>Tabela3[[#This Row],[Avançado]]*4</f>
        <v>106.29370629370629</v>
      </c>
      <c r="Q145" s="422">
        <f t="shared" si="12"/>
        <v>238.46153846153845</v>
      </c>
      <c r="R145" s="423">
        <f>Tabela3[[#This Row],[Participação]]*100</f>
        <v>81.25</v>
      </c>
      <c r="S145" s="422">
        <f t="shared" si="13"/>
        <v>238.46153846153845</v>
      </c>
      <c r="T145" s="421">
        <f>Tabela3[[#This Row],[Meta 2024]]*0.65</f>
        <v>135.73397499999999</v>
      </c>
      <c r="U145" s="421">
        <v>208.82149999999999</v>
      </c>
      <c r="V145" s="422">
        <f t="shared" si="14"/>
        <v>1.4055416907541809</v>
      </c>
      <c r="W145" s="424">
        <f t="shared" si="15"/>
        <v>1</v>
      </c>
    </row>
    <row r="146" spans="1:23">
      <c r="A146" s="418">
        <v>186</v>
      </c>
      <c r="B146" s="419" t="s">
        <v>97</v>
      </c>
      <c r="C146" s="418">
        <v>33</v>
      </c>
      <c r="D146" s="418">
        <v>12</v>
      </c>
      <c r="E146" s="418">
        <v>24</v>
      </c>
      <c r="F146" s="418">
        <v>31</v>
      </c>
      <c r="G146" s="418">
        <f t="shared" si="11"/>
        <v>100</v>
      </c>
      <c r="H146" s="420">
        <v>0.81299999999999994</v>
      </c>
      <c r="I146" s="421">
        <f>Tabela3[[#This Row],[TOTAL DE ALUNOS ABAIXO DO BÁSICO]]/Tabela3[[#This Row],[TOTAL DE ALUNOS]]*100</f>
        <v>33</v>
      </c>
      <c r="J146" s="421">
        <f>Tabela3[[#This Row],[Abaixo do Básico]]*1</f>
        <v>33</v>
      </c>
      <c r="K146" s="421">
        <f>Tabela3[[#This Row],[TOTAL DE ALUNOS NO BÁSICO]]/Tabela3[[#This Row],[TOTAL DE ALUNOS]]*100</f>
        <v>12</v>
      </c>
      <c r="L146" s="421">
        <f>Tabela3[[#This Row],[Básico]]*2</f>
        <v>24</v>
      </c>
      <c r="M146" s="421">
        <f>Tabela3[[#This Row],[TOTAL DE ALUNOS ADEQUADO]]/Tabela3[[#This Row],[TOTAL DE ALUNOS]]*100</f>
        <v>24</v>
      </c>
      <c r="N146" s="421">
        <f>Tabela3[[#This Row],[Adequado]]*3</f>
        <v>72</v>
      </c>
      <c r="O146" s="421">
        <f>Tabela3[[#This Row],[TOTAL DE ALUNOS AVANÇADO]]/Tabela3[[#This Row],[TOTAL DE ALUNOS]]*100</f>
        <v>31</v>
      </c>
      <c r="P146" s="422">
        <f>Tabela3[[#This Row],[Avançado]]*4</f>
        <v>124</v>
      </c>
      <c r="Q146" s="422">
        <f t="shared" si="12"/>
        <v>253</v>
      </c>
      <c r="R146" s="423">
        <f>Tabela3[[#This Row],[Participação]]*100</f>
        <v>81.3</v>
      </c>
      <c r="S146" s="422">
        <f t="shared" si="13"/>
        <v>253</v>
      </c>
      <c r="T146" s="421">
        <f>Tabela3[[#This Row],[Meta 2024]]*0.65</f>
        <v>131.250665</v>
      </c>
      <c r="U146" s="421">
        <v>201.92410000000001</v>
      </c>
      <c r="V146" s="422">
        <f t="shared" si="14"/>
        <v>1.7227029505499483</v>
      </c>
      <c r="W146" s="424">
        <f t="shared" si="15"/>
        <v>1</v>
      </c>
    </row>
    <row r="147" spans="1:23">
      <c r="A147" s="418">
        <v>187</v>
      </c>
      <c r="B147" s="419" t="s">
        <v>51</v>
      </c>
      <c r="C147" s="418">
        <v>60</v>
      </c>
      <c r="D147" s="418">
        <v>15</v>
      </c>
      <c r="E147" s="418">
        <v>31</v>
      </c>
      <c r="F147" s="418">
        <v>22</v>
      </c>
      <c r="G147" s="418">
        <f t="shared" si="11"/>
        <v>128</v>
      </c>
      <c r="H147" s="420">
        <v>0.83660000000000001</v>
      </c>
      <c r="I147" s="421">
        <f>Tabela3[[#This Row],[TOTAL DE ALUNOS ABAIXO DO BÁSICO]]/Tabela3[[#This Row],[TOTAL DE ALUNOS]]*100</f>
        <v>46.875</v>
      </c>
      <c r="J147" s="421">
        <f>Tabela3[[#This Row],[Abaixo do Básico]]*1</f>
        <v>46.875</v>
      </c>
      <c r="K147" s="421">
        <f>Tabela3[[#This Row],[TOTAL DE ALUNOS NO BÁSICO]]/Tabela3[[#This Row],[TOTAL DE ALUNOS]]*100</f>
        <v>11.71875</v>
      </c>
      <c r="L147" s="421">
        <f>Tabela3[[#This Row],[Básico]]*2</f>
        <v>23.4375</v>
      </c>
      <c r="M147" s="421">
        <f>Tabela3[[#This Row],[TOTAL DE ALUNOS ADEQUADO]]/Tabela3[[#This Row],[TOTAL DE ALUNOS]]*100</f>
        <v>24.21875</v>
      </c>
      <c r="N147" s="421">
        <f>Tabela3[[#This Row],[Adequado]]*3</f>
        <v>72.65625</v>
      </c>
      <c r="O147" s="421">
        <f>Tabela3[[#This Row],[TOTAL DE ALUNOS AVANÇADO]]/Tabela3[[#This Row],[TOTAL DE ALUNOS]]*100</f>
        <v>17.1875</v>
      </c>
      <c r="P147" s="422">
        <f>Tabela3[[#This Row],[Avançado]]*4</f>
        <v>68.75</v>
      </c>
      <c r="Q147" s="422">
        <f t="shared" si="12"/>
        <v>211.71875</v>
      </c>
      <c r="R147" s="423">
        <f>Tabela3[[#This Row],[Participação]]*100</f>
        <v>83.66</v>
      </c>
      <c r="S147" s="422">
        <f t="shared" si="13"/>
        <v>211.71875</v>
      </c>
      <c r="T147" s="421">
        <f>Tabela3[[#This Row],[Meta 2024]]*0.65</f>
        <v>163.16742000000002</v>
      </c>
      <c r="U147" s="421">
        <v>251.02680000000001</v>
      </c>
      <c r="V147" s="422">
        <f t="shared" si="14"/>
        <v>0.55260269307614029</v>
      </c>
      <c r="W147" s="424">
        <f t="shared" si="15"/>
        <v>0.55260269307614029</v>
      </c>
    </row>
    <row r="148" spans="1:23">
      <c r="A148" s="418">
        <v>188</v>
      </c>
      <c r="B148" s="419" t="s">
        <v>7</v>
      </c>
      <c r="C148" s="418">
        <v>57</v>
      </c>
      <c r="D148" s="418">
        <v>26</v>
      </c>
      <c r="E148" s="418">
        <v>30</v>
      </c>
      <c r="F148" s="418">
        <v>30</v>
      </c>
      <c r="G148" s="418">
        <f t="shared" si="11"/>
        <v>143</v>
      </c>
      <c r="H148" s="420">
        <v>0.59089999999999998</v>
      </c>
      <c r="I148" s="421">
        <f>Tabela3[[#This Row],[TOTAL DE ALUNOS ABAIXO DO BÁSICO]]/Tabela3[[#This Row],[TOTAL DE ALUNOS]]*100</f>
        <v>39.86013986013986</v>
      </c>
      <c r="J148" s="421">
        <f>Tabela3[[#This Row],[Abaixo do Básico]]*1</f>
        <v>39.86013986013986</v>
      </c>
      <c r="K148" s="421">
        <f>Tabela3[[#This Row],[TOTAL DE ALUNOS NO BÁSICO]]/Tabela3[[#This Row],[TOTAL DE ALUNOS]]*100</f>
        <v>18.181818181818183</v>
      </c>
      <c r="L148" s="421">
        <f>Tabela3[[#This Row],[Básico]]*2</f>
        <v>36.363636363636367</v>
      </c>
      <c r="M148" s="421">
        <f>Tabela3[[#This Row],[TOTAL DE ALUNOS ADEQUADO]]/Tabela3[[#This Row],[TOTAL DE ALUNOS]]*100</f>
        <v>20.97902097902098</v>
      </c>
      <c r="N148" s="421">
        <f>Tabela3[[#This Row],[Adequado]]*3</f>
        <v>62.93706293706294</v>
      </c>
      <c r="O148" s="421">
        <f>Tabela3[[#This Row],[TOTAL DE ALUNOS AVANÇADO]]/Tabela3[[#This Row],[TOTAL DE ALUNOS]]*100</f>
        <v>20.97902097902098</v>
      </c>
      <c r="P148" s="422">
        <f>Tabela3[[#This Row],[Avançado]]*4</f>
        <v>83.91608391608392</v>
      </c>
      <c r="Q148" s="422">
        <f t="shared" si="12"/>
        <v>223.07692307692309</v>
      </c>
      <c r="R148" s="423">
        <f>Tabela3[[#This Row],[Participação]]*100</f>
        <v>59.089999999999996</v>
      </c>
      <c r="S148" s="422">
        <f t="shared" si="13"/>
        <v>223.07692307692309</v>
      </c>
      <c r="T148" s="421">
        <f>Tabela3[[#This Row],[Meta 2024]]*0.65</f>
        <v>128.579815</v>
      </c>
      <c r="U148" s="421">
        <v>197.8151</v>
      </c>
      <c r="V148" s="422">
        <f t="shared" si="14"/>
        <v>1.3648692003928791</v>
      </c>
      <c r="W148" s="424">
        <f t="shared" si="15"/>
        <v>1</v>
      </c>
    </row>
    <row r="149" spans="1:23">
      <c r="A149" s="418">
        <v>190</v>
      </c>
      <c r="B149" s="419" t="s">
        <v>113</v>
      </c>
      <c r="C149" s="418">
        <v>40</v>
      </c>
      <c r="D149" s="418">
        <v>17</v>
      </c>
      <c r="E149" s="418">
        <v>43</v>
      </c>
      <c r="F149" s="418">
        <v>45</v>
      </c>
      <c r="G149" s="418">
        <f t="shared" si="11"/>
        <v>145</v>
      </c>
      <c r="H149" s="420">
        <v>0.95389999999999997</v>
      </c>
      <c r="I149" s="421">
        <f>Tabela3[[#This Row],[TOTAL DE ALUNOS ABAIXO DO BÁSICO]]/Tabela3[[#This Row],[TOTAL DE ALUNOS]]*100</f>
        <v>27.586206896551722</v>
      </c>
      <c r="J149" s="421">
        <f>Tabela3[[#This Row],[Abaixo do Básico]]*1</f>
        <v>27.586206896551722</v>
      </c>
      <c r="K149" s="421">
        <f>Tabela3[[#This Row],[TOTAL DE ALUNOS NO BÁSICO]]/Tabela3[[#This Row],[TOTAL DE ALUNOS]]*100</f>
        <v>11.724137931034482</v>
      </c>
      <c r="L149" s="421">
        <f>Tabela3[[#This Row],[Básico]]*2</f>
        <v>23.448275862068964</v>
      </c>
      <c r="M149" s="421">
        <f>Tabela3[[#This Row],[TOTAL DE ALUNOS ADEQUADO]]/Tabela3[[#This Row],[TOTAL DE ALUNOS]]*100</f>
        <v>29.655172413793103</v>
      </c>
      <c r="N149" s="421">
        <f>Tabela3[[#This Row],[Adequado]]*3</f>
        <v>88.965517241379303</v>
      </c>
      <c r="O149" s="421">
        <f>Tabela3[[#This Row],[TOTAL DE ALUNOS AVANÇADO]]/Tabela3[[#This Row],[TOTAL DE ALUNOS]]*100</f>
        <v>31.03448275862069</v>
      </c>
      <c r="P149" s="422">
        <f>Tabela3[[#This Row],[Avançado]]*4</f>
        <v>124.13793103448276</v>
      </c>
      <c r="Q149" s="422">
        <f t="shared" si="12"/>
        <v>264.13793103448279</v>
      </c>
      <c r="R149" s="423">
        <f>Tabela3[[#This Row],[Participação]]*100</f>
        <v>95.39</v>
      </c>
      <c r="S149" s="422">
        <f t="shared" si="13"/>
        <v>264.13793103448279</v>
      </c>
      <c r="T149" s="421">
        <f>Tabela3[[#This Row],[Meta 2024]]*0.65</f>
        <v>153.51557</v>
      </c>
      <c r="U149" s="421">
        <v>236.17779999999999</v>
      </c>
      <c r="V149" s="422">
        <f t="shared" si="14"/>
        <v>1.3382455449663384</v>
      </c>
      <c r="W149" s="424">
        <f t="shared" si="15"/>
        <v>1</v>
      </c>
    </row>
    <row r="150" spans="1:23">
      <c r="A150" s="418">
        <v>191</v>
      </c>
      <c r="B150" s="419" t="s">
        <v>34</v>
      </c>
      <c r="C150" s="418">
        <v>42</v>
      </c>
      <c r="D150" s="418">
        <v>21</v>
      </c>
      <c r="E150" s="418">
        <v>25</v>
      </c>
      <c r="F150" s="418">
        <v>20</v>
      </c>
      <c r="G150" s="418">
        <f t="shared" si="11"/>
        <v>108</v>
      </c>
      <c r="H150" s="420">
        <v>1</v>
      </c>
      <c r="I150" s="421">
        <f>Tabela3[[#This Row],[TOTAL DE ALUNOS ABAIXO DO BÁSICO]]/Tabela3[[#This Row],[TOTAL DE ALUNOS]]*100</f>
        <v>38.888888888888893</v>
      </c>
      <c r="J150" s="421">
        <f>Tabela3[[#This Row],[Abaixo do Básico]]*1</f>
        <v>38.888888888888893</v>
      </c>
      <c r="K150" s="421">
        <f>Tabela3[[#This Row],[TOTAL DE ALUNOS NO BÁSICO]]/Tabela3[[#This Row],[TOTAL DE ALUNOS]]*100</f>
        <v>19.444444444444446</v>
      </c>
      <c r="L150" s="421">
        <f>Tabela3[[#This Row],[Básico]]*2</f>
        <v>38.888888888888893</v>
      </c>
      <c r="M150" s="421">
        <f>Tabela3[[#This Row],[TOTAL DE ALUNOS ADEQUADO]]/Tabela3[[#This Row],[TOTAL DE ALUNOS]]*100</f>
        <v>23.148148148148149</v>
      </c>
      <c r="N150" s="421">
        <f>Tabela3[[#This Row],[Adequado]]*3</f>
        <v>69.444444444444443</v>
      </c>
      <c r="O150" s="421">
        <f>Tabela3[[#This Row],[TOTAL DE ALUNOS AVANÇADO]]/Tabela3[[#This Row],[TOTAL DE ALUNOS]]*100</f>
        <v>18.518518518518519</v>
      </c>
      <c r="P150" s="422">
        <f>Tabela3[[#This Row],[Avançado]]*4</f>
        <v>74.074074074074076</v>
      </c>
      <c r="Q150" s="422">
        <f t="shared" si="12"/>
        <v>221.2962962962963</v>
      </c>
      <c r="R150" s="423">
        <f>Tabela3[[#This Row],[Participação]]*100</f>
        <v>100</v>
      </c>
      <c r="S150" s="422">
        <f t="shared" si="13"/>
        <v>221.2962962962963</v>
      </c>
      <c r="T150" s="421">
        <f>Tabela3[[#This Row],[Meta 2024]]*0.65</f>
        <v>141.90735000000001</v>
      </c>
      <c r="U150" s="421">
        <v>218.31899999999999</v>
      </c>
      <c r="V150" s="422">
        <f t="shared" si="14"/>
        <v>1.038963905324598</v>
      </c>
      <c r="W150" s="424">
        <f t="shared" si="15"/>
        <v>1</v>
      </c>
    </row>
    <row r="151" spans="1:23">
      <c r="A151" s="418">
        <v>193</v>
      </c>
      <c r="B151" s="419" t="s">
        <v>132</v>
      </c>
      <c r="C151" s="418">
        <v>29</v>
      </c>
      <c r="D151" s="418">
        <v>14</v>
      </c>
      <c r="E151" s="418">
        <v>33</v>
      </c>
      <c r="F151" s="418">
        <v>33</v>
      </c>
      <c r="G151" s="418">
        <f t="shared" si="11"/>
        <v>109</v>
      </c>
      <c r="H151" s="420">
        <v>0.93969999999999998</v>
      </c>
      <c r="I151" s="421">
        <f>Tabela3[[#This Row],[TOTAL DE ALUNOS ABAIXO DO BÁSICO]]/Tabela3[[#This Row],[TOTAL DE ALUNOS]]*100</f>
        <v>26.605504587155966</v>
      </c>
      <c r="J151" s="421">
        <f>Tabela3[[#This Row],[Abaixo do Básico]]*1</f>
        <v>26.605504587155966</v>
      </c>
      <c r="K151" s="421">
        <f>Tabela3[[#This Row],[TOTAL DE ALUNOS NO BÁSICO]]/Tabela3[[#This Row],[TOTAL DE ALUNOS]]*100</f>
        <v>12.844036697247708</v>
      </c>
      <c r="L151" s="421">
        <f>Tabela3[[#This Row],[Básico]]*2</f>
        <v>25.688073394495415</v>
      </c>
      <c r="M151" s="421">
        <f>Tabela3[[#This Row],[TOTAL DE ALUNOS ADEQUADO]]/Tabela3[[#This Row],[TOTAL DE ALUNOS]]*100</f>
        <v>30.275229357798167</v>
      </c>
      <c r="N151" s="421">
        <f>Tabela3[[#This Row],[Adequado]]*3</f>
        <v>90.825688073394502</v>
      </c>
      <c r="O151" s="421">
        <f>Tabela3[[#This Row],[TOTAL DE ALUNOS AVANÇADO]]/Tabela3[[#This Row],[TOTAL DE ALUNOS]]*100</f>
        <v>30.275229357798167</v>
      </c>
      <c r="P151" s="422">
        <f>Tabela3[[#This Row],[Avançado]]*4</f>
        <v>121.10091743119267</v>
      </c>
      <c r="Q151" s="422">
        <f t="shared" si="12"/>
        <v>264.22018348623857</v>
      </c>
      <c r="R151" s="423">
        <f>Tabela3[[#This Row],[Participação]]*100</f>
        <v>93.97</v>
      </c>
      <c r="S151" s="422">
        <f t="shared" si="13"/>
        <v>264.22018348623857</v>
      </c>
      <c r="T151" s="421">
        <f>Tabela3[[#This Row],[Meta 2024]]*0.65</f>
        <v>154.27710999999999</v>
      </c>
      <c r="U151" s="421">
        <v>237.3494</v>
      </c>
      <c r="V151" s="422">
        <f t="shared" si="14"/>
        <v>1.3234626550711261</v>
      </c>
      <c r="W151" s="424">
        <f t="shared" si="15"/>
        <v>1</v>
      </c>
    </row>
    <row r="152" spans="1:23">
      <c r="A152" s="418">
        <v>194</v>
      </c>
      <c r="B152" s="419" t="s">
        <v>99</v>
      </c>
      <c r="C152" s="418">
        <v>27</v>
      </c>
      <c r="D152" s="418">
        <v>7</v>
      </c>
      <c r="E152" s="418">
        <v>20</v>
      </c>
      <c r="F152" s="418">
        <v>17</v>
      </c>
      <c r="G152" s="418">
        <f t="shared" si="11"/>
        <v>71</v>
      </c>
      <c r="H152" s="420">
        <v>0.94669999999999999</v>
      </c>
      <c r="I152" s="421">
        <f>Tabela3[[#This Row],[TOTAL DE ALUNOS ABAIXO DO BÁSICO]]/Tabela3[[#This Row],[TOTAL DE ALUNOS]]*100</f>
        <v>38.028169014084504</v>
      </c>
      <c r="J152" s="421">
        <f>Tabela3[[#This Row],[Abaixo do Básico]]*1</f>
        <v>38.028169014084504</v>
      </c>
      <c r="K152" s="421">
        <f>Tabela3[[#This Row],[TOTAL DE ALUNOS NO BÁSICO]]/Tabela3[[#This Row],[TOTAL DE ALUNOS]]*100</f>
        <v>9.8591549295774641</v>
      </c>
      <c r="L152" s="421">
        <f>Tabela3[[#This Row],[Básico]]*2</f>
        <v>19.718309859154928</v>
      </c>
      <c r="M152" s="421">
        <f>Tabela3[[#This Row],[TOTAL DE ALUNOS ADEQUADO]]/Tabela3[[#This Row],[TOTAL DE ALUNOS]]*100</f>
        <v>28.169014084507044</v>
      </c>
      <c r="N152" s="421">
        <f>Tabela3[[#This Row],[Adequado]]*3</f>
        <v>84.507042253521135</v>
      </c>
      <c r="O152" s="421">
        <f>Tabela3[[#This Row],[TOTAL DE ALUNOS AVANÇADO]]/Tabela3[[#This Row],[TOTAL DE ALUNOS]]*100</f>
        <v>23.943661971830984</v>
      </c>
      <c r="P152" s="422">
        <f>Tabela3[[#This Row],[Avançado]]*4</f>
        <v>95.774647887323937</v>
      </c>
      <c r="Q152" s="422">
        <f t="shared" si="12"/>
        <v>238.02816901408451</v>
      </c>
      <c r="R152" s="423">
        <f>Tabela3[[#This Row],[Participação]]*100</f>
        <v>94.67</v>
      </c>
      <c r="S152" s="422">
        <f t="shared" si="13"/>
        <v>238.02816901408451</v>
      </c>
      <c r="T152" s="421">
        <f>Tabela3[[#This Row],[Meta 2024]]*0.65</f>
        <v>169.91299000000001</v>
      </c>
      <c r="U152" s="421">
        <v>261.40460000000002</v>
      </c>
      <c r="V152" s="422">
        <f t="shared" si="14"/>
        <v>0.74449645179579305</v>
      </c>
      <c r="W152" s="424">
        <f t="shared" si="15"/>
        <v>0.74449645179579305</v>
      </c>
    </row>
    <row r="153" spans="1:23">
      <c r="A153" s="418">
        <v>195</v>
      </c>
      <c r="B153" s="419" t="s">
        <v>143</v>
      </c>
      <c r="C153" s="418">
        <v>23</v>
      </c>
      <c r="D153" s="418">
        <v>13</v>
      </c>
      <c r="E153" s="418">
        <v>30</v>
      </c>
      <c r="F153" s="418">
        <v>45</v>
      </c>
      <c r="G153" s="418">
        <f t="shared" si="11"/>
        <v>111</v>
      </c>
      <c r="H153" s="420">
        <v>0.98229999999999995</v>
      </c>
      <c r="I153" s="421">
        <f>Tabela3[[#This Row],[TOTAL DE ALUNOS ABAIXO DO BÁSICO]]/Tabela3[[#This Row],[TOTAL DE ALUNOS]]*100</f>
        <v>20.72072072072072</v>
      </c>
      <c r="J153" s="421">
        <f>Tabela3[[#This Row],[Abaixo do Básico]]*1</f>
        <v>20.72072072072072</v>
      </c>
      <c r="K153" s="421">
        <f>Tabela3[[#This Row],[TOTAL DE ALUNOS NO BÁSICO]]/Tabela3[[#This Row],[TOTAL DE ALUNOS]]*100</f>
        <v>11.711711711711711</v>
      </c>
      <c r="L153" s="421">
        <f>Tabela3[[#This Row],[Básico]]*2</f>
        <v>23.423423423423422</v>
      </c>
      <c r="M153" s="421">
        <f>Tabela3[[#This Row],[TOTAL DE ALUNOS ADEQUADO]]/Tabela3[[#This Row],[TOTAL DE ALUNOS]]*100</f>
        <v>27.027027027027028</v>
      </c>
      <c r="N153" s="421">
        <f>Tabela3[[#This Row],[Adequado]]*3</f>
        <v>81.081081081081081</v>
      </c>
      <c r="O153" s="421">
        <f>Tabela3[[#This Row],[TOTAL DE ALUNOS AVANÇADO]]/Tabela3[[#This Row],[TOTAL DE ALUNOS]]*100</f>
        <v>40.54054054054054</v>
      </c>
      <c r="P153" s="422">
        <f>Tabela3[[#This Row],[Avançado]]*4</f>
        <v>162.16216216216216</v>
      </c>
      <c r="Q153" s="422">
        <f t="shared" si="12"/>
        <v>287.38738738738738</v>
      </c>
      <c r="R153" s="423">
        <f>Tabela3[[#This Row],[Participação]]*100</f>
        <v>98.22999999999999</v>
      </c>
      <c r="S153" s="422">
        <f t="shared" si="13"/>
        <v>287.38738738738738</v>
      </c>
      <c r="T153" s="421">
        <f>Tabela3[[#This Row],[Meta 2024]]*0.65</f>
        <v>177.914815</v>
      </c>
      <c r="U153" s="421">
        <v>273.71510000000001</v>
      </c>
      <c r="V153" s="422">
        <f t="shared" si="14"/>
        <v>1.1427165627679226</v>
      </c>
      <c r="W153" s="424">
        <f t="shared" si="15"/>
        <v>1</v>
      </c>
    </row>
    <row r="154" spans="1:23">
      <c r="A154" s="418">
        <v>197</v>
      </c>
      <c r="B154" s="419" t="s">
        <v>173</v>
      </c>
      <c r="C154" s="418">
        <v>44</v>
      </c>
      <c r="D154" s="418">
        <v>16</v>
      </c>
      <c r="E154" s="418">
        <v>23</v>
      </c>
      <c r="F154" s="418">
        <v>23</v>
      </c>
      <c r="G154" s="418">
        <f t="shared" si="11"/>
        <v>106</v>
      </c>
      <c r="H154" s="420">
        <v>0.79700000000000004</v>
      </c>
      <c r="I154" s="421">
        <f>Tabela3[[#This Row],[TOTAL DE ALUNOS ABAIXO DO BÁSICO]]/Tabela3[[#This Row],[TOTAL DE ALUNOS]]*100</f>
        <v>41.509433962264154</v>
      </c>
      <c r="J154" s="421">
        <f>Tabela3[[#This Row],[Abaixo do Básico]]*1</f>
        <v>41.509433962264154</v>
      </c>
      <c r="K154" s="421">
        <f>Tabela3[[#This Row],[TOTAL DE ALUNOS NO BÁSICO]]/Tabela3[[#This Row],[TOTAL DE ALUNOS]]*100</f>
        <v>15.09433962264151</v>
      </c>
      <c r="L154" s="421">
        <f>Tabela3[[#This Row],[Básico]]*2</f>
        <v>30.188679245283019</v>
      </c>
      <c r="M154" s="421">
        <f>Tabela3[[#This Row],[TOTAL DE ALUNOS ADEQUADO]]/Tabela3[[#This Row],[TOTAL DE ALUNOS]]*100</f>
        <v>21.69811320754717</v>
      </c>
      <c r="N154" s="421">
        <f>Tabela3[[#This Row],[Adequado]]*3</f>
        <v>65.094339622641513</v>
      </c>
      <c r="O154" s="421">
        <f>Tabela3[[#This Row],[TOTAL DE ALUNOS AVANÇADO]]/Tabela3[[#This Row],[TOTAL DE ALUNOS]]*100</f>
        <v>21.69811320754717</v>
      </c>
      <c r="P154" s="422">
        <f>Tabela3[[#This Row],[Avançado]]*4</f>
        <v>86.79245283018868</v>
      </c>
      <c r="Q154" s="422">
        <f t="shared" si="12"/>
        <v>223.58490566037739</v>
      </c>
      <c r="R154" s="423">
        <f>Tabela3[[#This Row],[Participação]]*100</f>
        <v>79.7</v>
      </c>
      <c r="S154" s="422">
        <f t="shared" si="13"/>
        <v>223.58490566037739</v>
      </c>
      <c r="T154" s="421">
        <f>Tabela3[[#This Row],[Meta 2024]]*0.65</f>
        <v>128.2424</v>
      </c>
      <c r="U154" s="421">
        <v>197.29599999999999</v>
      </c>
      <c r="V154" s="422">
        <f t="shared" si="14"/>
        <v>1.3807028983337204</v>
      </c>
      <c r="W154" s="424">
        <f t="shared" si="15"/>
        <v>1</v>
      </c>
    </row>
    <row r="155" spans="1:23">
      <c r="A155" s="418">
        <v>198</v>
      </c>
      <c r="B155" s="419" t="s">
        <v>67</v>
      </c>
      <c r="C155" s="418">
        <v>40</v>
      </c>
      <c r="D155" s="418">
        <v>18</v>
      </c>
      <c r="E155" s="418">
        <v>23</v>
      </c>
      <c r="F155" s="418">
        <v>21</v>
      </c>
      <c r="G155" s="418">
        <f t="shared" si="11"/>
        <v>102</v>
      </c>
      <c r="H155" s="420">
        <v>0.81599999999999995</v>
      </c>
      <c r="I155" s="421">
        <f>Tabela3[[#This Row],[TOTAL DE ALUNOS ABAIXO DO BÁSICO]]/Tabela3[[#This Row],[TOTAL DE ALUNOS]]*100</f>
        <v>39.215686274509807</v>
      </c>
      <c r="J155" s="421">
        <f>Tabela3[[#This Row],[Abaixo do Básico]]*1</f>
        <v>39.215686274509807</v>
      </c>
      <c r="K155" s="421">
        <f>Tabela3[[#This Row],[TOTAL DE ALUNOS NO BÁSICO]]/Tabela3[[#This Row],[TOTAL DE ALUNOS]]*100</f>
        <v>17.647058823529413</v>
      </c>
      <c r="L155" s="421">
        <f>Tabela3[[#This Row],[Básico]]*2</f>
        <v>35.294117647058826</v>
      </c>
      <c r="M155" s="421">
        <f>Tabela3[[#This Row],[TOTAL DE ALUNOS ADEQUADO]]/Tabela3[[#This Row],[TOTAL DE ALUNOS]]*100</f>
        <v>22.549019607843139</v>
      </c>
      <c r="N155" s="421">
        <f>Tabela3[[#This Row],[Adequado]]*3</f>
        <v>67.64705882352942</v>
      </c>
      <c r="O155" s="421">
        <f>Tabela3[[#This Row],[TOTAL DE ALUNOS AVANÇADO]]/Tabela3[[#This Row],[TOTAL DE ALUNOS]]*100</f>
        <v>20.588235294117645</v>
      </c>
      <c r="P155" s="422">
        <f>Tabela3[[#This Row],[Avançado]]*4</f>
        <v>82.35294117647058</v>
      </c>
      <c r="Q155" s="422">
        <f t="shared" si="12"/>
        <v>224.50980392156865</v>
      </c>
      <c r="R155" s="423">
        <f>Tabela3[[#This Row],[Participação]]*100</f>
        <v>81.599999999999994</v>
      </c>
      <c r="S155" s="422">
        <f t="shared" si="13"/>
        <v>224.50980392156865</v>
      </c>
      <c r="T155" s="421">
        <f>Tabela3[[#This Row],[Meta 2024]]*0.65</f>
        <v>151.53248500000001</v>
      </c>
      <c r="U155" s="421">
        <v>233.12690000000001</v>
      </c>
      <c r="V155" s="422">
        <f t="shared" si="14"/>
        <v>0.89439110411623934</v>
      </c>
      <c r="W155" s="424">
        <f t="shared" si="15"/>
        <v>0.89439110411623934</v>
      </c>
    </row>
    <row r="156" spans="1:23">
      <c r="A156" s="418">
        <v>199</v>
      </c>
      <c r="B156" s="419" t="s">
        <v>19</v>
      </c>
      <c r="C156" s="418">
        <v>88</v>
      </c>
      <c r="D156" s="418">
        <v>27</v>
      </c>
      <c r="E156" s="418">
        <v>60</v>
      </c>
      <c r="F156" s="418">
        <v>40</v>
      </c>
      <c r="G156" s="418">
        <f t="shared" si="11"/>
        <v>215</v>
      </c>
      <c r="H156" s="420">
        <v>0.92669999999999997</v>
      </c>
      <c r="I156" s="421">
        <f>Tabela3[[#This Row],[TOTAL DE ALUNOS ABAIXO DO BÁSICO]]/Tabela3[[#This Row],[TOTAL DE ALUNOS]]*100</f>
        <v>40.930232558139537</v>
      </c>
      <c r="J156" s="421">
        <f>Tabela3[[#This Row],[Abaixo do Básico]]*1</f>
        <v>40.930232558139537</v>
      </c>
      <c r="K156" s="421">
        <f>Tabela3[[#This Row],[TOTAL DE ALUNOS NO BÁSICO]]/Tabela3[[#This Row],[TOTAL DE ALUNOS]]*100</f>
        <v>12.558139534883722</v>
      </c>
      <c r="L156" s="421">
        <f>Tabela3[[#This Row],[Básico]]*2</f>
        <v>25.116279069767444</v>
      </c>
      <c r="M156" s="421">
        <f>Tabela3[[#This Row],[TOTAL DE ALUNOS ADEQUADO]]/Tabela3[[#This Row],[TOTAL DE ALUNOS]]*100</f>
        <v>27.906976744186046</v>
      </c>
      <c r="N156" s="421">
        <f>Tabela3[[#This Row],[Adequado]]*3</f>
        <v>83.720930232558146</v>
      </c>
      <c r="O156" s="421">
        <f>Tabela3[[#This Row],[TOTAL DE ALUNOS AVANÇADO]]/Tabela3[[#This Row],[TOTAL DE ALUNOS]]*100</f>
        <v>18.604651162790699</v>
      </c>
      <c r="P156" s="422">
        <f>Tabela3[[#This Row],[Avançado]]*4</f>
        <v>74.418604651162795</v>
      </c>
      <c r="Q156" s="422">
        <f t="shared" si="12"/>
        <v>224.18604651162792</v>
      </c>
      <c r="R156" s="423">
        <f>Tabela3[[#This Row],[Participação]]*100</f>
        <v>92.67</v>
      </c>
      <c r="S156" s="422">
        <f t="shared" si="13"/>
        <v>224.18604651162792</v>
      </c>
      <c r="T156" s="421">
        <f>Tabela3[[#This Row],[Meta 2024]]*0.65</f>
        <v>133.29107999999999</v>
      </c>
      <c r="U156" s="421">
        <v>205.06319999999999</v>
      </c>
      <c r="V156" s="422">
        <f t="shared" si="14"/>
        <v>1.2664383678735966</v>
      </c>
      <c r="W156" s="424">
        <f t="shared" si="15"/>
        <v>1</v>
      </c>
    </row>
    <row r="157" spans="1:23">
      <c r="A157" s="418">
        <v>200</v>
      </c>
      <c r="B157" s="419" t="s">
        <v>134</v>
      </c>
      <c r="C157" s="418">
        <v>28</v>
      </c>
      <c r="D157" s="418">
        <v>16</v>
      </c>
      <c r="E157" s="418">
        <v>33</v>
      </c>
      <c r="F157" s="418">
        <v>67</v>
      </c>
      <c r="G157" s="418">
        <f t="shared" si="11"/>
        <v>144</v>
      </c>
      <c r="H157" s="420">
        <v>0.86750000000000005</v>
      </c>
      <c r="I157" s="421">
        <f>Tabela3[[#This Row],[TOTAL DE ALUNOS ABAIXO DO BÁSICO]]/Tabela3[[#This Row],[TOTAL DE ALUNOS]]*100</f>
        <v>19.444444444444446</v>
      </c>
      <c r="J157" s="421">
        <f>Tabela3[[#This Row],[Abaixo do Básico]]*1</f>
        <v>19.444444444444446</v>
      </c>
      <c r="K157" s="421">
        <f>Tabela3[[#This Row],[TOTAL DE ALUNOS NO BÁSICO]]/Tabela3[[#This Row],[TOTAL DE ALUNOS]]*100</f>
        <v>11.111111111111111</v>
      </c>
      <c r="L157" s="421">
        <f>Tabela3[[#This Row],[Básico]]*2</f>
        <v>22.222222222222221</v>
      </c>
      <c r="M157" s="421">
        <f>Tabela3[[#This Row],[TOTAL DE ALUNOS ADEQUADO]]/Tabela3[[#This Row],[TOTAL DE ALUNOS]]*100</f>
        <v>22.916666666666664</v>
      </c>
      <c r="N157" s="421">
        <f>Tabela3[[#This Row],[Adequado]]*3</f>
        <v>68.75</v>
      </c>
      <c r="O157" s="421">
        <f>Tabela3[[#This Row],[TOTAL DE ALUNOS AVANÇADO]]/Tabela3[[#This Row],[TOTAL DE ALUNOS]]*100</f>
        <v>46.527777777777779</v>
      </c>
      <c r="P157" s="422">
        <f>Tabela3[[#This Row],[Avançado]]*4</f>
        <v>186.11111111111111</v>
      </c>
      <c r="Q157" s="422">
        <f t="shared" si="12"/>
        <v>296.52777777777777</v>
      </c>
      <c r="R157" s="423">
        <f>Tabela3[[#This Row],[Participação]]*100</f>
        <v>86.75</v>
      </c>
      <c r="S157" s="422">
        <f t="shared" si="13"/>
        <v>296.52777777777777</v>
      </c>
      <c r="T157" s="421">
        <f>Tabela3[[#This Row],[Meta 2024]]*0.65</f>
        <v>164.084765</v>
      </c>
      <c r="U157" s="421">
        <v>252.43809999999999</v>
      </c>
      <c r="V157" s="422">
        <f t="shared" si="14"/>
        <v>1.4990154336310879</v>
      </c>
      <c r="W157" s="424">
        <f t="shared" si="15"/>
        <v>1</v>
      </c>
    </row>
    <row r="158" spans="1:23">
      <c r="A158" s="418">
        <v>201</v>
      </c>
      <c r="B158" s="419" t="s">
        <v>88</v>
      </c>
      <c r="C158" s="418">
        <v>35</v>
      </c>
      <c r="D158" s="418">
        <v>25</v>
      </c>
      <c r="E158" s="418">
        <v>31</v>
      </c>
      <c r="F158" s="418">
        <v>25</v>
      </c>
      <c r="G158" s="418">
        <f t="shared" si="11"/>
        <v>116</v>
      </c>
      <c r="H158" s="420">
        <v>0.84670000000000001</v>
      </c>
      <c r="I158" s="421">
        <f>Tabela3[[#This Row],[TOTAL DE ALUNOS ABAIXO DO BÁSICO]]/Tabela3[[#This Row],[TOTAL DE ALUNOS]]*100</f>
        <v>30.172413793103448</v>
      </c>
      <c r="J158" s="421">
        <f>Tabela3[[#This Row],[Abaixo do Básico]]*1</f>
        <v>30.172413793103448</v>
      </c>
      <c r="K158" s="421">
        <f>Tabela3[[#This Row],[TOTAL DE ALUNOS NO BÁSICO]]/Tabela3[[#This Row],[TOTAL DE ALUNOS]]*100</f>
        <v>21.551724137931032</v>
      </c>
      <c r="L158" s="421">
        <f>Tabela3[[#This Row],[Básico]]*2</f>
        <v>43.103448275862064</v>
      </c>
      <c r="M158" s="421">
        <f>Tabela3[[#This Row],[TOTAL DE ALUNOS ADEQUADO]]/Tabela3[[#This Row],[TOTAL DE ALUNOS]]*100</f>
        <v>26.72413793103448</v>
      </c>
      <c r="N158" s="421">
        <f>Tabela3[[#This Row],[Adequado]]*3</f>
        <v>80.172413793103445</v>
      </c>
      <c r="O158" s="421">
        <f>Tabela3[[#This Row],[TOTAL DE ALUNOS AVANÇADO]]/Tabela3[[#This Row],[TOTAL DE ALUNOS]]*100</f>
        <v>21.551724137931032</v>
      </c>
      <c r="P158" s="422">
        <f>Tabela3[[#This Row],[Avançado]]*4</f>
        <v>86.206896551724128</v>
      </c>
      <c r="Q158" s="422">
        <f t="shared" si="12"/>
        <v>239.65517241379308</v>
      </c>
      <c r="R158" s="423">
        <f>Tabela3[[#This Row],[Participação]]*100</f>
        <v>84.67</v>
      </c>
      <c r="S158" s="422">
        <f t="shared" si="13"/>
        <v>239.65517241379308</v>
      </c>
      <c r="T158" s="421">
        <f>Tabela3[[#This Row],[Meta 2024]]*0.65</f>
        <v>146.43239</v>
      </c>
      <c r="U158" s="421">
        <v>225.28059999999999</v>
      </c>
      <c r="V158" s="422">
        <f t="shared" si="14"/>
        <v>1.1823068959180314</v>
      </c>
      <c r="W158" s="424">
        <f t="shared" si="15"/>
        <v>1</v>
      </c>
    </row>
    <row r="159" spans="1:23">
      <c r="A159" s="418">
        <v>202</v>
      </c>
      <c r="B159" s="419" t="s">
        <v>133</v>
      </c>
      <c r="C159" s="418">
        <v>15</v>
      </c>
      <c r="D159" s="418">
        <v>6</v>
      </c>
      <c r="E159" s="418">
        <v>12</v>
      </c>
      <c r="F159" s="418">
        <v>20</v>
      </c>
      <c r="G159" s="418">
        <f t="shared" si="11"/>
        <v>53</v>
      </c>
      <c r="H159" s="420">
        <v>0.81540000000000001</v>
      </c>
      <c r="I159" s="421">
        <f>Tabela3[[#This Row],[TOTAL DE ALUNOS ABAIXO DO BÁSICO]]/Tabela3[[#This Row],[TOTAL DE ALUNOS]]*100</f>
        <v>28.30188679245283</v>
      </c>
      <c r="J159" s="421">
        <f>Tabela3[[#This Row],[Abaixo do Básico]]*1</f>
        <v>28.30188679245283</v>
      </c>
      <c r="K159" s="421">
        <f>Tabela3[[#This Row],[TOTAL DE ALUNOS NO BÁSICO]]/Tabela3[[#This Row],[TOTAL DE ALUNOS]]*100</f>
        <v>11.320754716981133</v>
      </c>
      <c r="L159" s="421">
        <f>Tabela3[[#This Row],[Básico]]*2</f>
        <v>22.641509433962266</v>
      </c>
      <c r="M159" s="421">
        <f>Tabela3[[#This Row],[TOTAL DE ALUNOS ADEQUADO]]/Tabela3[[#This Row],[TOTAL DE ALUNOS]]*100</f>
        <v>22.641509433962266</v>
      </c>
      <c r="N159" s="421">
        <f>Tabela3[[#This Row],[Adequado]]*3</f>
        <v>67.924528301886795</v>
      </c>
      <c r="O159" s="421">
        <f>Tabela3[[#This Row],[TOTAL DE ALUNOS AVANÇADO]]/Tabela3[[#This Row],[TOTAL DE ALUNOS]]*100</f>
        <v>37.735849056603776</v>
      </c>
      <c r="P159" s="422">
        <f>Tabela3[[#This Row],[Avançado]]*4</f>
        <v>150.9433962264151</v>
      </c>
      <c r="Q159" s="422">
        <f t="shared" si="12"/>
        <v>269.81132075471703</v>
      </c>
      <c r="R159" s="423">
        <f>Tabela3[[#This Row],[Participação]]*100</f>
        <v>81.540000000000006</v>
      </c>
      <c r="S159" s="422">
        <f t="shared" si="13"/>
        <v>269.81132075471703</v>
      </c>
      <c r="T159" s="421">
        <f>Tabela3[[#This Row],[Meta 2024]]*0.65</f>
        <v>169</v>
      </c>
      <c r="U159" s="421">
        <v>260</v>
      </c>
      <c r="V159" s="422">
        <f t="shared" si="14"/>
        <v>1.107816711590297</v>
      </c>
      <c r="W159" s="424">
        <f t="shared" si="15"/>
        <v>1</v>
      </c>
    </row>
    <row r="160" spans="1:23">
      <c r="A160" s="418">
        <v>203</v>
      </c>
      <c r="B160" s="419" t="s">
        <v>63</v>
      </c>
      <c r="C160" s="418">
        <v>31</v>
      </c>
      <c r="D160" s="418">
        <v>21</v>
      </c>
      <c r="E160" s="418">
        <v>20</v>
      </c>
      <c r="F160" s="418">
        <v>30</v>
      </c>
      <c r="G160" s="418">
        <f t="shared" si="11"/>
        <v>102</v>
      </c>
      <c r="H160" s="420">
        <v>0.92730000000000001</v>
      </c>
      <c r="I160" s="421">
        <f>Tabela3[[#This Row],[TOTAL DE ALUNOS ABAIXO DO BÁSICO]]/Tabela3[[#This Row],[TOTAL DE ALUNOS]]*100</f>
        <v>30.392156862745097</v>
      </c>
      <c r="J160" s="421">
        <f>Tabela3[[#This Row],[Abaixo do Básico]]*1</f>
        <v>30.392156862745097</v>
      </c>
      <c r="K160" s="421">
        <f>Tabela3[[#This Row],[TOTAL DE ALUNOS NO BÁSICO]]/Tabela3[[#This Row],[TOTAL DE ALUNOS]]*100</f>
        <v>20.588235294117645</v>
      </c>
      <c r="L160" s="421">
        <f>Tabela3[[#This Row],[Básico]]*2</f>
        <v>41.17647058823529</v>
      </c>
      <c r="M160" s="421">
        <f>Tabela3[[#This Row],[TOTAL DE ALUNOS ADEQUADO]]/Tabela3[[#This Row],[TOTAL DE ALUNOS]]*100</f>
        <v>19.607843137254903</v>
      </c>
      <c r="N160" s="421">
        <f>Tabela3[[#This Row],[Adequado]]*3</f>
        <v>58.82352941176471</v>
      </c>
      <c r="O160" s="421">
        <f>Tabela3[[#This Row],[TOTAL DE ALUNOS AVANÇADO]]/Tabela3[[#This Row],[TOTAL DE ALUNOS]]*100</f>
        <v>29.411764705882355</v>
      </c>
      <c r="P160" s="422">
        <f>Tabela3[[#This Row],[Avançado]]*4</f>
        <v>117.64705882352942</v>
      </c>
      <c r="Q160" s="422">
        <f t="shared" si="12"/>
        <v>248.0392156862745</v>
      </c>
      <c r="R160" s="423">
        <f>Tabela3[[#This Row],[Participação]]*100</f>
        <v>92.73</v>
      </c>
      <c r="S160" s="422">
        <f t="shared" si="13"/>
        <v>248.0392156862745</v>
      </c>
      <c r="T160" s="421">
        <f>Tabela3[[#This Row],[Meta 2024]]*0.65</f>
        <v>132.91005000000001</v>
      </c>
      <c r="U160" s="421">
        <v>204.477</v>
      </c>
      <c r="V160" s="422">
        <f t="shared" si="14"/>
        <v>1.608691800981801</v>
      </c>
      <c r="W160" s="424">
        <f t="shared" si="15"/>
        <v>1</v>
      </c>
    </row>
    <row r="161" spans="1:23">
      <c r="A161" s="418">
        <v>205</v>
      </c>
      <c r="B161" s="419" t="s">
        <v>169</v>
      </c>
      <c r="C161" s="418">
        <v>103</v>
      </c>
      <c r="D161" s="418">
        <v>42</v>
      </c>
      <c r="E161" s="418">
        <v>64</v>
      </c>
      <c r="F161" s="418">
        <v>27</v>
      </c>
      <c r="G161" s="418">
        <f t="shared" si="11"/>
        <v>236</v>
      </c>
      <c r="H161" s="420">
        <v>0.92549999999999999</v>
      </c>
      <c r="I161" s="421">
        <f>Tabela3[[#This Row],[TOTAL DE ALUNOS ABAIXO DO BÁSICO]]/Tabela3[[#This Row],[TOTAL DE ALUNOS]]*100</f>
        <v>43.644067796610173</v>
      </c>
      <c r="J161" s="421">
        <f>Tabela3[[#This Row],[Abaixo do Básico]]*1</f>
        <v>43.644067796610173</v>
      </c>
      <c r="K161" s="421">
        <f>Tabela3[[#This Row],[TOTAL DE ALUNOS NO BÁSICO]]/Tabela3[[#This Row],[TOTAL DE ALUNOS]]*100</f>
        <v>17.796610169491526</v>
      </c>
      <c r="L161" s="421">
        <f>Tabela3[[#This Row],[Básico]]*2</f>
        <v>35.593220338983052</v>
      </c>
      <c r="M161" s="421">
        <f>Tabela3[[#This Row],[TOTAL DE ALUNOS ADEQUADO]]/Tabela3[[#This Row],[TOTAL DE ALUNOS]]*100</f>
        <v>27.118644067796609</v>
      </c>
      <c r="N161" s="421">
        <f>Tabela3[[#This Row],[Adequado]]*3</f>
        <v>81.355932203389827</v>
      </c>
      <c r="O161" s="421">
        <f>Tabela3[[#This Row],[TOTAL DE ALUNOS AVANÇADO]]/Tabela3[[#This Row],[TOTAL DE ALUNOS]]*100</f>
        <v>11.440677966101696</v>
      </c>
      <c r="P161" s="422">
        <f>Tabela3[[#This Row],[Avançado]]*4</f>
        <v>45.762711864406782</v>
      </c>
      <c r="Q161" s="422">
        <f t="shared" si="12"/>
        <v>206.35593220338981</v>
      </c>
      <c r="R161" s="423">
        <f>Tabela3[[#This Row],[Participação]]*100</f>
        <v>92.55</v>
      </c>
      <c r="S161" s="422">
        <f t="shared" si="13"/>
        <v>206.35593220338981</v>
      </c>
      <c r="T161" s="421">
        <f>Tabela3[[#This Row],[Meta 2024]]*0.65</f>
        <v>132.146885</v>
      </c>
      <c r="U161" s="421">
        <v>203.30289999999999</v>
      </c>
      <c r="V161" s="422">
        <f t="shared" si="14"/>
        <v>1.0429061717887071</v>
      </c>
      <c r="W161" s="424">
        <f t="shared" si="15"/>
        <v>1</v>
      </c>
    </row>
    <row r="162" spans="1:23">
      <c r="A162" s="418">
        <v>206</v>
      </c>
      <c r="B162" s="419" t="s">
        <v>214</v>
      </c>
      <c r="C162" s="418">
        <v>39</v>
      </c>
      <c r="D162" s="418">
        <v>14</v>
      </c>
      <c r="E162" s="418">
        <v>27</v>
      </c>
      <c r="F162" s="418">
        <v>44</v>
      </c>
      <c r="G162" s="418">
        <f t="shared" si="11"/>
        <v>124</v>
      </c>
      <c r="H162" s="420">
        <v>0.9254</v>
      </c>
      <c r="I162" s="421">
        <f>Tabela3[[#This Row],[TOTAL DE ALUNOS ABAIXO DO BÁSICO]]/Tabela3[[#This Row],[TOTAL DE ALUNOS]]*100</f>
        <v>31.451612903225808</v>
      </c>
      <c r="J162" s="421">
        <f>Tabela3[[#This Row],[Abaixo do Básico]]*1</f>
        <v>31.451612903225808</v>
      </c>
      <c r="K162" s="421">
        <f>Tabela3[[#This Row],[TOTAL DE ALUNOS NO BÁSICO]]/Tabela3[[#This Row],[TOTAL DE ALUNOS]]*100</f>
        <v>11.29032258064516</v>
      </c>
      <c r="L162" s="421">
        <f>Tabela3[[#This Row],[Básico]]*2</f>
        <v>22.58064516129032</v>
      </c>
      <c r="M162" s="421">
        <f>Tabela3[[#This Row],[TOTAL DE ALUNOS ADEQUADO]]/Tabela3[[#This Row],[TOTAL DE ALUNOS]]*100</f>
        <v>21.774193548387096</v>
      </c>
      <c r="N162" s="421">
        <f>Tabela3[[#This Row],[Adequado]]*3</f>
        <v>65.322580645161281</v>
      </c>
      <c r="O162" s="421">
        <f>Tabela3[[#This Row],[TOTAL DE ALUNOS AVANÇADO]]/Tabela3[[#This Row],[TOTAL DE ALUNOS]]*100</f>
        <v>35.483870967741936</v>
      </c>
      <c r="P162" s="422">
        <f>Tabela3[[#This Row],[Avançado]]*4</f>
        <v>141.93548387096774</v>
      </c>
      <c r="Q162" s="422">
        <f t="shared" si="12"/>
        <v>261.29032258064512</v>
      </c>
      <c r="R162" s="423">
        <f>Tabela3[[#This Row],[Participação]]*100</f>
        <v>92.54</v>
      </c>
      <c r="S162" s="422">
        <f t="shared" si="13"/>
        <v>261.29032258064512</v>
      </c>
      <c r="T162" s="421">
        <f>Tabela3[[#This Row],[Meta 2024]]*0.65</f>
        <v>163.87826000000001</v>
      </c>
      <c r="U162" s="421">
        <v>252.12039999999999</v>
      </c>
      <c r="V162" s="422">
        <f t="shared" si="14"/>
        <v>1.1039177266172957</v>
      </c>
      <c r="W162" s="424">
        <f t="shared" si="15"/>
        <v>1</v>
      </c>
    </row>
    <row r="163" spans="1:23">
      <c r="A163" s="418">
        <v>207</v>
      </c>
      <c r="B163" s="419" t="s">
        <v>31</v>
      </c>
      <c r="C163" s="418">
        <v>83</v>
      </c>
      <c r="D163" s="418">
        <v>25</v>
      </c>
      <c r="E163" s="418">
        <v>37</v>
      </c>
      <c r="F163" s="418">
        <v>36</v>
      </c>
      <c r="G163" s="418">
        <f t="shared" si="11"/>
        <v>181</v>
      </c>
      <c r="H163" s="420">
        <v>0.81899999999999995</v>
      </c>
      <c r="I163" s="421">
        <f>Tabela3[[#This Row],[TOTAL DE ALUNOS ABAIXO DO BÁSICO]]/Tabela3[[#This Row],[TOTAL DE ALUNOS]]*100</f>
        <v>45.856353591160222</v>
      </c>
      <c r="J163" s="421">
        <f>Tabela3[[#This Row],[Abaixo do Básico]]*1</f>
        <v>45.856353591160222</v>
      </c>
      <c r="K163" s="421">
        <f>Tabela3[[#This Row],[TOTAL DE ALUNOS NO BÁSICO]]/Tabela3[[#This Row],[TOTAL DE ALUNOS]]*100</f>
        <v>13.812154696132598</v>
      </c>
      <c r="L163" s="421">
        <f>Tabela3[[#This Row],[Básico]]*2</f>
        <v>27.624309392265197</v>
      </c>
      <c r="M163" s="421">
        <f>Tabela3[[#This Row],[TOTAL DE ALUNOS ADEQUADO]]/Tabela3[[#This Row],[TOTAL DE ALUNOS]]*100</f>
        <v>20.441988950276244</v>
      </c>
      <c r="N163" s="421">
        <f>Tabela3[[#This Row],[Adequado]]*3</f>
        <v>61.325966850828735</v>
      </c>
      <c r="O163" s="421">
        <f>Tabela3[[#This Row],[TOTAL DE ALUNOS AVANÇADO]]/Tabela3[[#This Row],[TOTAL DE ALUNOS]]*100</f>
        <v>19.88950276243094</v>
      </c>
      <c r="P163" s="422">
        <f>Tabela3[[#This Row],[Avançado]]*4</f>
        <v>79.55801104972376</v>
      </c>
      <c r="Q163" s="422">
        <f t="shared" si="12"/>
        <v>214.36464088397793</v>
      </c>
      <c r="R163" s="423">
        <f>Tabela3[[#This Row],[Participação]]*100</f>
        <v>81.899999999999991</v>
      </c>
      <c r="S163" s="422">
        <f t="shared" si="13"/>
        <v>214.36464088397793</v>
      </c>
      <c r="T163" s="421">
        <f>Tabela3[[#This Row],[Meta 2024]]*0.65</f>
        <v>136.21120500000001</v>
      </c>
      <c r="U163" s="421">
        <v>209.5557</v>
      </c>
      <c r="V163" s="422">
        <f t="shared" si="14"/>
        <v>1.0655664870823356</v>
      </c>
      <c r="W163" s="424">
        <f t="shared" si="15"/>
        <v>1</v>
      </c>
    </row>
    <row r="164" spans="1:23">
      <c r="A164" s="418">
        <v>208</v>
      </c>
      <c r="B164" s="419" t="s">
        <v>112</v>
      </c>
      <c r="C164" s="418">
        <v>66</v>
      </c>
      <c r="D164" s="418">
        <v>25</v>
      </c>
      <c r="E164" s="418">
        <v>60</v>
      </c>
      <c r="F164" s="418">
        <v>39</v>
      </c>
      <c r="G164" s="418">
        <f t="shared" si="11"/>
        <v>190</v>
      </c>
      <c r="H164" s="420">
        <v>0.90480000000000005</v>
      </c>
      <c r="I164" s="421">
        <f>Tabela3[[#This Row],[TOTAL DE ALUNOS ABAIXO DO BÁSICO]]/Tabela3[[#This Row],[TOTAL DE ALUNOS]]*100</f>
        <v>34.736842105263158</v>
      </c>
      <c r="J164" s="421">
        <f>Tabela3[[#This Row],[Abaixo do Básico]]*1</f>
        <v>34.736842105263158</v>
      </c>
      <c r="K164" s="421">
        <f>Tabela3[[#This Row],[TOTAL DE ALUNOS NO BÁSICO]]/Tabela3[[#This Row],[TOTAL DE ALUNOS]]*100</f>
        <v>13.157894736842104</v>
      </c>
      <c r="L164" s="421">
        <f>Tabela3[[#This Row],[Básico]]*2</f>
        <v>26.315789473684209</v>
      </c>
      <c r="M164" s="421">
        <f>Tabela3[[#This Row],[TOTAL DE ALUNOS ADEQUADO]]/Tabela3[[#This Row],[TOTAL DE ALUNOS]]*100</f>
        <v>31.578947368421051</v>
      </c>
      <c r="N164" s="421">
        <f>Tabela3[[#This Row],[Adequado]]*3</f>
        <v>94.73684210526315</v>
      </c>
      <c r="O164" s="421">
        <f>Tabela3[[#This Row],[TOTAL DE ALUNOS AVANÇADO]]/Tabela3[[#This Row],[TOTAL DE ALUNOS]]*100</f>
        <v>20.526315789473685</v>
      </c>
      <c r="P164" s="422">
        <f>Tabela3[[#This Row],[Avançado]]*4</f>
        <v>82.10526315789474</v>
      </c>
      <c r="Q164" s="422">
        <f t="shared" si="12"/>
        <v>237.89473684210526</v>
      </c>
      <c r="R164" s="423">
        <f>Tabela3[[#This Row],[Participação]]*100</f>
        <v>90.48</v>
      </c>
      <c r="S164" s="422">
        <f t="shared" si="13"/>
        <v>237.89473684210526</v>
      </c>
      <c r="T164" s="421">
        <f>Tabela3[[#This Row],[Meta 2024]]*0.65</f>
        <v>134.52406500000001</v>
      </c>
      <c r="U164" s="421">
        <v>206.96010000000001</v>
      </c>
      <c r="V164" s="422">
        <f t="shared" si="14"/>
        <v>1.4270614320911581</v>
      </c>
      <c r="W164" s="424">
        <f t="shared" si="15"/>
        <v>1</v>
      </c>
    </row>
    <row r="165" spans="1:23">
      <c r="A165" s="418">
        <v>210</v>
      </c>
      <c r="B165" s="419" t="s">
        <v>13</v>
      </c>
      <c r="C165" s="418">
        <v>47</v>
      </c>
      <c r="D165" s="418">
        <v>19</v>
      </c>
      <c r="E165" s="418">
        <v>41</v>
      </c>
      <c r="F165" s="418">
        <v>43</v>
      </c>
      <c r="G165" s="418">
        <f t="shared" si="11"/>
        <v>150</v>
      </c>
      <c r="H165" s="420">
        <v>0.96150000000000002</v>
      </c>
      <c r="I165" s="421">
        <f>Tabela3[[#This Row],[TOTAL DE ALUNOS ABAIXO DO BÁSICO]]/Tabela3[[#This Row],[TOTAL DE ALUNOS]]*100</f>
        <v>31.333333333333336</v>
      </c>
      <c r="J165" s="421">
        <f>Tabela3[[#This Row],[Abaixo do Básico]]*1</f>
        <v>31.333333333333336</v>
      </c>
      <c r="K165" s="421">
        <f>Tabela3[[#This Row],[TOTAL DE ALUNOS NO BÁSICO]]/Tabela3[[#This Row],[TOTAL DE ALUNOS]]*100</f>
        <v>12.666666666666668</v>
      </c>
      <c r="L165" s="421">
        <f>Tabela3[[#This Row],[Básico]]*2</f>
        <v>25.333333333333336</v>
      </c>
      <c r="M165" s="421">
        <f>Tabela3[[#This Row],[TOTAL DE ALUNOS ADEQUADO]]/Tabela3[[#This Row],[TOTAL DE ALUNOS]]*100</f>
        <v>27.333333333333332</v>
      </c>
      <c r="N165" s="421">
        <f>Tabela3[[#This Row],[Adequado]]*3</f>
        <v>82</v>
      </c>
      <c r="O165" s="421">
        <f>Tabela3[[#This Row],[TOTAL DE ALUNOS AVANÇADO]]/Tabela3[[#This Row],[TOTAL DE ALUNOS]]*100</f>
        <v>28.666666666666668</v>
      </c>
      <c r="P165" s="422">
        <f>Tabela3[[#This Row],[Avançado]]*4</f>
        <v>114.66666666666667</v>
      </c>
      <c r="Q165" s="422">
        <f t="shared" si="12"/>
        <v>253.33333333333337</v>
      </c>
      <c r="R165" s="423">
        <f>Tabela3[[#This Row],[Participação]]*100</f>
        <v>96.15</v>
      </c>
      <c r="S165" s="422">
        <f t="shared" si="13"/>
        <v>253.33333333333337</v>
      </c>
      <c r="T165" s="421">
        <f>Tabela3[[#This Row],[Meta 2024]]*0.65</f>
        <v>133.82375500000001</v>
      </c>
      <c r="U165" s="421">
        <v>205.8827</v>
      </c>
      <c r="V165" s="422">
        <f t="shared" si="14"/>
        <v>1.6584974749954133</v>
      </c>
      <c r="W165" s="424">
        <f t="shared" si="15"/>
        <v>1</v>
      </c>
    </row>
    <row r="166" spans="1:23">
      <c r="A166" s="418">
        <v>211</v>
      </c>
      <c r="B166" s="419" t="s">
        <v>76</v>
      </c>
      <c r="C166" s="418">
        <v>46</v>
      </c>
      <c r="D166" s="418">
        <v>22</v>
      </c>
      <c r="E166" s="418">
        <v>56</v>
      </c>
      <c r="F166" s="418">
        <v>56</v>
      </c>
      <c r="G166" s="418">
        <f t="shared" si="11"/>
        <v>180</v>
      </c>
      <c r="H166" s="420">
        <v>0.85709999999999997</v>
      </c>
      <c r="I166" s="421">
        <f>Tabela3[[#This Row],[TOTAL DE ALUNOS ABAIXO DO BÁSICO]]/Tabela3[[#This Row],[TOTAL DE ALUNOS]]*100</f>
        <v>25.555555555555554</v>
      </c>
      <c r="J166" s="421">
        <f>Tabela3[[#This Row],[Abaixo do Básico]]*1</f>
        <v>25.555555555555554</v>
      </c>
      <c r="K166" s="421">
        <f>Tabela3[[#This Row],[TOTAL DE ALUNOS NO BÁSICO]]/Tabela3[[#This Row],[TOTAL DE ALUNOS]]*100</f>
        <v>12.222222222222221</v>
      </c>
      <c r="L166" s="421">
        <f>Tabela3[[#This Row],[Básico]]*2</f>
        <v>24.444444444444443</v>
      </c>
      <c r="M166" s="421">
        <f>Tabela3[[#This Row],[TOTAL DE ALUNOS ADEQUADO]]/Tabela3[[#This Row],[TOTAL DE ALUNOS]]*100</f>
        <v>31.111111111111111</v>
      </c>
      <c r="N166" s="421">
        <f>Tabela3[[#This Row],[Adequado]]*3</f>
        <v>93.333333333333329</v>
      </c>
      <c r="O166" s="421">
        <f>Tabela3[[#This Row],[TOTAL DE ALUNOS AVANÇADO]]/Tabela3[[#This Row],[TOTAL DE ALUNOS]]*100</f>
        <v>31.111111111111111</v>
      </c>
      <c r="P166" s="422">
        <f>Tabela3[[#This Row],[Avançado]]*4</f>
        <v>124.44444444444444</v>
      </c>
      <c r="Q166" s="422">
        <f t="shared" si="12"/>
        <v>267.77777777777777</v>
      </c>
      <c r="R166" s="423">
        <f>Tabela3[[#This Row],[Participação]]*100</f>
        <v>85.71</v>
      </c>
      <c r="S166" s="422">
        <f t="shared" si="13"/>
        <v>267.77777777777777</v>
      </c>
      <c r="T166" s="421">
        <f>Tabela3[[#This Row],[Meta 2024]]*0.65</f>
        <v>145.08013</v>
      </c>
      <c r="U166" s="421">
        <v>223.2002</v>
      </c>
      <c r="V166" s="422">
        <f t="shared" si="14"/>
        <v>1.5706290045282572</v>
      </c>
      <c r="W166" s="424">
        <f t="shared" si="15"/>
        <v>1</v>
      </c>
    </row>
    <row r="167" spans="1:23">
      <c r="A167" s="418">
        <v>212</v>
      </c>
      <c r="B167" s="419" t="s">
        <v>15</v>
      </c>
      <c r="C167" s="418">
        <v>34</v>
      </c>
      <c r="D167" s="418">
        <v>17</v>
      </c>
      <c r="E167" s="418">
        <v>23</v>
      </c>
      <c r="F167" s="418">
        <v>31</v>
      </c>
      <c r="G167" s="418">
        <f t="shared" si="11"/>
        <v>105</v>
      </c>
      <c r="H167" s="420">
        <v>0.97219999999999995</v>
      </c>
      <c r="I167" s="421">
        <f>Tabela3[[#This Row],[TOTAL DE ALUNOS ABAIXO DO BÁSICO]]/Tabela3[[#This Row],[TOTAL DE ALUNOS]]*100</f>
        <v>32.38095238095238</v>
      </c>
      <c r="J167" s="421">
        <f>Tabela3[[#This Row],[Abaixo do Básico]]*1</f>
        <v>32.38095238095238</v>
      </c>
      <c r="K167" s="421">
        <f>Tabela3[[#This Row],[TOTAL DE ALUNOS NO BÁSICO]]/Tabela3[[#This Row],[TOTAL DE ALUNOS]]*100</f>
        <v>16.19047619047619</v>
      </c>
      <c r="L167" s="421">
        <f>Tabela3[[#This Row],[Básico]]*2</f>
        <v>32.38095238095238</v>
      </c>
      <c r="M167" s="421">
        <f>Tabela3[[#This Row],[TOTAL DE ALUNOS ADEQUADO]]/Tabela3[[#This Row],[TOTAL DE ALUNOS]]*100</f>
        <v>21.904761904761905</v>
      </c>
      <c r="N167" s="421">
        <f>Tabela3[[#This Row],[Adequado]]*3</f>
        <v>65.714285714285722</v>
      </c>
      <c r="O167" s="421">
        <f>Tabela3[[#This Row],[TOTAL DE ALUNOS AVANÇADO]]/Tabela3[[#This Row],[TOTAL DE ALUNOS]]*100</f>
        <v>29.523809523809526</v>
      </c>
      <c r="P167" s="422">
        <f>Tabela3[[#This Row],[Avançado]]*4</f>
        <v>118.0952380952381</v>
      </c>
      <c r="Q167" s="422">
        <f t="shared" si="12"/>
        <v>248.57142857142858</v>
      </c>
      <c r="R167" s="423">
        <f>Tabela3[[#This Row],[Participação]]*100</f>
        <v>97.22</v>
      </c>
      <c r="S167" s="422">
        <f t="shared" si="13"/>
        <v>248.57142857142858</v>
      </c>
      <c r="T167" s="421">
        <f>Tabela3[[#This Row],[Meta 2024]]*0.65</f>
        <v>160.521725</v>
      </c>
      <c r="U167" s="421">
        <v>246.95650000000001</v>
      </c>
      <c r="V167" s="422">
        <f t="shared" si="14"/>
        <v>1.0186837829036817</v>
      </c>
      <c r="W167" s="424">
        <f t="shared" si="15"/>
        <v>1</v>
      </c>
    </row>
    <row r="168" spans="1:23">
      <c r="A168" s="418">
        <v>213</v>
      </c>
      <c r="B168" s="419" t="s">
        <v>78</v>
      </c>
      <c r="C168" s="418">
        <v>20</v>
      </c>
      <c r="D168" s="418">
        <v>14</v>
      </c>
      <c r="E168" s="418">
        <v>9</v>
      </c>
      <c r="F168" s="418">
        <v>20</v>
      </c>
      <c r="G168" s="418">
        <f t="shared" si="11"/>
        <v>63</v>
      </c>
      <c r="H168" s="420">
        <v>0.85140000000000005</v>
      </c>
      <c r="I168" s="421">
        <f>Tabela3[[#This Row],[TOTAL DE ALUNOS ABAIXO DO BÁSICO]]/Tabela3[[#This Row],[TOTAL DE ALUNOS]]*100</f>
        <v>31.746031746031743</v>
      </c>
      <c r="J168" s="421">
        <f>Tabela3[[#This Row],[Abaixo do Básico]]*1</f>
        <v>31.746031746031743</v>
      </c>
      <c r="K168" s="421">
        <f>Tabela3[[#This Row],[TOTAL DE ALUNOS NO BÁSICO]]/Tabela3[[#This Row],[TOTAL DE ALUNOS]]*100</f>
        <v>22.222222222222221</v>
      </c>
      <c r="L168" s="421">
        <f>Tabela3[[#This Row],[Básico]]*2</f>
        <v>44.444444444444443</v>
      </c>
      <c r="M168" s="421">
        <f>Tabela3[[#This Row],[TOTAL DE ALUNOS ADEQUADO]]/Tabela3[[#This Row],[TOTAL DE ALUNOS]]*100</f>
        <v>14.285714285714285</v>
      </c>
      <c r="N168" s="421">
        <f>Tabela3[[#This Row],[Adequado]]*3</f>
        <v>42.857142857142854</v>
      </c>
      <c r="O168" s="421">
        <f>Tabela3[[#This Row],[TOTAL DE ALUNOS AVANÇADO]]/Tabela3[[#This Row],[TOTAL DE ALUNOS]]*100</f>
        <v>31.746031746031743</v>
      </c>
      <c r="P168" s="422">
        <f>Tabela3[[#This Row],[Avançado]]*4</f>
        <v>126.98412698412697</v>
      </c>
      <c r="Q168" s="422">
        <f t="shared" si="12"/>
        <v>246.03174603174602</v>
      </c>
      <c r="R168" s="423">
        <f>Tabela3[[#This Row],[Participação]]*100</f>
        <v>85.14</v>
      </c>
      <c r="S168" s="422">
        <f t="shared" si="13"/>
        <v>246.03174603174602</v>
      </c>
      <c r="T168" s="421">
        <f>Tabela3[[#This Row],[Meta 2024]]*0.65</f>
        <v>161.70758499999999</v>
      </c>
      <c r="U168" s="421">
        <v>248.7809</v>
      </c>
      <c r="V168" s="422">
        <f t="shared" si="14"/>
        <v>0.96842713558965821</v>
      </c>
      <c r="W168" s="424">
        <f t="shared" si="15"/>
        <v>0.96842713558965821</v>
      </c>
    </row>
    <row r="169" spans="1:23">
      <c r="A169" s="418">
        <v>214</v>
      </c>
      <c r="B169" s="419" t="s">
        <v>8</v>
      </c>
      <c r="C169" s="418">
        <v>26</v>
      </c>
      <c r="D169" s="418">
        <v>8</v>
      </c>
      <c r="E169" s="418">
        <v>18</v>
      </c>
      <c r="F169" s="418">
        <v>16</v>
      </c>
      <c r="G169" s="418">
        <f t="shared" si="11"/>
        <v>68</v>
      </c>
      <c r="H169" s="420">
        <v>0.83950000000000002</v>
      </c>
      <c r="I169" s="421">
        <f>Tabela3[[#This Row],[TOTAL DE ALUNOS ABAIXO DO BÁSICO]]/Tabela3[[#This Row],[TOTAL DE ALUNOS]]*100</f>
        <v>38.235294117647058</v>
      </c>
      <c r="J169" s="421">
        <f>Tabela3[[#This Row],[Abaixo do Básico]]*1</f>
        <v>38.235294117647058</v>
      </c>
      <c r="K169" s="421">
        <f>Tabela3[[#This Row],[TOTAL DE ALUNOS NO BÁSICO]]/Tabela3[[#This Row],[TOTAL DE ALUNOS]]*100</f>
        <v>11.76470588235294</v>
      </c>
      <c r="L169" s="421">
        <f>Tabela3[[#This Row],[Básico]]*2</f>
        <v>23.52941176470588</v>
      </c>
      <c r="M169" s="421">
        <f>Tabela3[[#This Row],[TOTAL DE ALUNOS ADEQUADO]]/Tabela3[[#This Row],[TOTAL DE ALUNOS]]*100</f>
        <v>26.47058823529412</v>
      </c>
      <c r="N169" s="421">
        <f>Tabela3[[#This Row],[Adequado]]*3</f>
        <v>79.411764705882362</v>
      </c>
      <c r="O169" s="421">
        <f>Tabela3[[#This Row],[TOTAL DE ALUNOS AVANÇADO]]/Tabela3[[#This Row],[TOTAL DE ALUNOS]]*100</f>
        <v>23.52941176470588</v>
      </c>
      <c r="P169" s="422">
        <f>Tabela3[[#This Row],[Avançado]]*4</f>
        <v>94.117647058823522</v>
      </c>
      <c r="Q169" s="422">
        <f t="shared" si="12"/>
        <v>235.29411764705884</v>
      </c>
      <c r="R169" s="423">
        <f>Tabela3[[#This Row],[Participação]]*100</f>
        <v>83.95</v>
      </c>
      <c r="S169" s="422">
        <f t="shared" si="13"/>
        <v>235.29411764705884</v>
      </c>
      <c r="T169" s="421">
        <f>Tabela3[[#This Row],[Meta 2024]]*0.65</f>
        <v>120.59404500000001</v>
      </c>
      <c r="U169" s="421">
        <v>185.52930000000001</v>
      </c>
      <c r="V169" s="422">
        <f t="shared" si="14"/>
        <v>1.7663759485823045</v>
      </c>
      <c r="W169" s="424">
        <f t="shared" si="15"/>
        <v>1</v>
      </c>
    </row>
    <row r="170" spans="1:23">
      <c r="A170" s="418">
        <v>215</v>
      </c>
      <c r="B170" s="419" t="s">
        <v>104</v>
      </c>
      <c r="C170" s="418">
        <v>29</v>
      </c>
      <c r="D170" s="418">
        <v>10</v>
      </c>
      <c r="E170" s="418">
        <v>16</v>
      </c>
      <c r="F170" s="418">
        <v>6</v>
      </c>
      <c r="G170" s="418">
        <f t="shared" si="11"/>
        <v>61</v>
      </c>
      <c r="H170" s="420">
        <v>0.62239999999999995</v>
      </c>
      <c r="I170" s="421">
        <f>Tabela3[[#This Row],[TOTAL DE ALUNOS ABAIXO DO BÁSICO]]/Tabela3[[#This Row],[TOTAL DE ALUNOS]]*100</f>
        <v>47.540983606557376</v>
      </c>
      <c r="J170" s="421">
        <f>Tabela3[[#This Row],[Abaixo do Básico]]*1</f>
        <v>47.540983606557376</v>
      </c>
      <c r="K170" s="421">
        <f>Tabela3[[#This Row],[TOTAL DE ALUNOS NO BÁSICO]]/Tabela3[[#This Row],[TOTAL DE ALUNOS]]*100</f>
        <v>16.393442622950818</v>
      </c>
      <c r="L170" s="421">
        <f>Tabela3[[#This Row],[Básico]]*2</f>
        <v>32.786885245901637</v>
      </c>
      <c r="M170" s="421">
        <f>Tabela3[[#This Row],[TOTAL DE ALUNOS ADEQUADO]]/Tabela3[[#This Row],[TOTAL DE ALUNOS]]*100</f>
        <v>26.229508196721312</v>
      </c>
      <c r="N170" s="421">
        <f>Tabela3[[#This Row],[Adequado]]*3</f>
        <v>78.688524590163937</v>
      </c>
      <c r="O170" s="421">
        <f>Tabela3[[#This Row],[TOTAL DE ALUNOS AVANÇADO]]/Tabela3[[#This Row],[TOTAL DE ALUNOS]]*100</f>
        <v>9.8360655737704921</v>
      </c>
      <c r="P170" s="422">
        <f>Tabela3[[#This Row],[Avançado]]*4</f>
        <v>39.344262295081968</v>
      </c>
      <c r="Q170" s="422">
        <f t="shared" si="12"/>
        <v>198.36065573770489</v>
      </c>
      <c r="R170" s="423">
        <f>Tabela3[[#This Row],[Participação]]*100</f>
        <v>62.239999999999995</v>
      </c>
      <c r="S170" s="422">
        <f t="shared" si="13"/>
        <v>198.36065573770489</v>
      </c>
      <c r="T170" s="421">
        <f>Tabela3[[#This Row],[Meta 2024]]*0.65</f>
        <v>115.906375</v>
      </c>
      <c r="U170" s="421">
        <v>178.3175</v>
      </c>
      <c r="V170" s="422">
        <f t="shared" si="14"/>
        <v>1.3211471630691627</v>
      </c>
      <c r="W170" s="424">
        <f t="shared" si="15"/>
        <v>1</v>
      </c>
    </row>
    <row r="171" spans="1:23">
      <c r="A171" s="418">
        <v>218</v>
      </c>
      <c r="B171" s="419" t="s">
        <v>192</v>
      </c>
      <c r="C171" s="418">
        <v>31</v>
      </c>
      <c r="D171" s="418">
        <v>14</v>
      </c>
      <c r="E171" s="418">
        <v>24</v>
      </c>
      <c r="F171" s="418">
        <v>25</v>
      </c>
      <c r="G171" s="418">
        <f t="shared" si="11"/>
        <v>94</v>
      </c>
      <c r="H171" s="420">
        <v>0.94</v>
      </c>
      <c r="I171" s="421">
        <f>Tabela3[[#This Row],[TOTAL DE ALUNOS ABAIXO DO BÁSICO]]/Tabela3[[#This Row],[TOTAL DE ALUNOS]]*100</f>
        <v>32.978723404255319</v>
      </c>
      <c r="J171" s="421">
        <f>Tabela3[[#This Row],[Abaixo do Básico]]*1</f>
        <v>32.978723404255319</v>
      </c>
      <c r="K171" s="421">
        <f>Tabela3[[#This Row],[TOTAL DE ALUNOS NO BÁSICO]]/Tabela3[[#This Row],[TOTAL DE ALUNOS]]*100</f>
        <v>14.893617021276595</v>
      </c>
      <c r="L171" s="421">
        <f>Tabela3[[#This Row],[Básico]]*2</f>
        <v>29.787234042553191</v>
      </c>
      <c r="M171" s="421">
        <f>Tabela3[[#This Row],[TOTAL DE ALUNOS ADEQUADO]]/Tabela3[[#This Row],[TOTAL DE ALUNOS]]*100</f>
        <v>25.531914893617021</v>
      </c>
      <c r="N171" s="421">
        <f>Tabela3[[#This Row],[Adequado]]*3</f>
        <v>76.595744680851055</v>
      </c>
      <c r="O171" s="421">
        <f>Tabela3[[#This Row],[TOTAL DE ALUNOS AVANÇADO]]/Tabela3[[#This Row],[TOTAL DE ALUNOS]]*100</f>
        <v>26.595744680851062</v>
      </c>
      <c r="P171" s="422">
        <f>Tabela3[[#This Row],[Avançado]]*4</f>
        <v>106.38297872340425</v>
      </c>
      <c r="Q171" s="422">
        <f t="shared" si="12"/>
        <v>245.7446808510638</v>
      </c>
      <c r="R171" s="423">
        <f>Tabela3[[#This Row],[Participação]]*100</f>
        <v>94</v>
      </c>
      <c r="S171" s="422">
        <f t="shared" si="13"/>
        <v>245.7446808510638</v>
      </c>
      <c r="T171" s="421">
        <f>Tabela3[[#This Row],[Meta 2024]]*0.65</f>
        <v>165.83931000000001</v>
      </c>
      <c r="U171" s="421">
        <v>255.13740000000001</v>
      </c>
      <c r="V171" s="422">
        <f t="shared" si="14"/>
        <v>0.89481612485848006</v>
      </c>
      <c r="W171" s="424">
        <f t="shared" si="15"/>
        <v>0.89481612485848006</v>
      </c>
    </row>
    <row r="172" spans="1:23">
      <c r="A172" s="418">
        <v>219</v>
      </c>
      <c r="B172" s="419" t="s">
        <v>80</v>
      </c>
      <c r="C172" s="418">
        <v>16</v>
      </c>
      <c r="D172" s="418">
        <v>7</v>
      </c>
      <c r="E172" s="418">
        <v>17</v>
      </c>
      <c r="F172" s="418">
        <v>29</v>
      </c>
      <c r="G172" s="418">
        <f t="shared" si="11"/>
        <v>69</v>
      </c>
      <c r="H172" s="420">
        <v>0.98570000000000002</v>
      </c>
      <c r="I172" s="421">
        <f>Tabela3[[#This Row],[TOTAL DE ALUNOS ABAIXO DO BÁSICO]]/Tabela3[[#This Row],[TOTAL DE ALUNOS]]*100</f>
        <v>23.188405797101449</v>
      </c>
      <c r="J172" s="421">
        <f>Tabela3[[#This Row],[Abaixo do Básico]]*1</f>
        <v>23.188405797101449</v>
      </c>
      <c r="K172" s="421">
        <f>Tabela3[[#This Row],[TOTAL DE ALUNOS NO BÁSICO]]/Tabela3[[#This Row],[TOTAL DE ALUNOS]]*100</f>
        <v>10.144927536231885</v>
      </c>
      <c r="L172" s="421">
        <f>Tabela3[[#This Row],[Básico]]*2</f>
        <v>20.289855072463769</v>
      </c>
      <c r="M172" s="421">
        <f>Tabela3[[#This Row],[TOTAL DE ALUNOS ADEQUADO]]/Tabela3[[#This Row],[TOTAL DE ALUNOS]]*100</f>
        <v>24.637681159420293</v>
      </c>
      <c r="N172" s="421">
        <f>Tabela3[[#This Row],[Adequado]]*3</f>
        <v>73.913043478260875</v>
      </c>
      <c r="O172" s="421">
        <f>Tabela3[[#This Row],[TOTAL DE ALUNOS AVANÇADO]]/Tabela3[[#This Row],[TOTAL DE ALUNOS]]*100</f>
        <v>42.028985507246375</v>
      </c>
      <c r="P172" s="422">
        <f>Tabela3[[#This Row],[Avançado]]*4</f>
        <v>168.1159420289855</v>
      </c>
      <c r="Q172" s="422">
        <f t="shared" si="12"/>
        <v>285.50724637681162</v>
      </c>
      <c r="R172" s="423">
        <f>Tabela3[[#This Row],[Participação]]*100</f>
        <v>98.570000000000007</v>
      </c>
      <c r="S172" s="422">
        <f t="shared" si="13"/>
        <v>285.50724637681162</v>
      </c>
      <c r="T172" s="421">
        <f>Tabela3[[#This Row],[Meta 2024]]*0.65</f>
        <v>153.01578499999999</v>
      </c>
      <c r="U172" s="421">
        <v>235.40889999999999</v>
      </c>
      <c r="V172" s="422">
        <f t="shared" si="14"/>
        <v>1.6080404458165181</v>
      </c>
      <c r="W172" s="424">
        <f t="shared" si="15"/>
        <v>1</v>
      </c>
    </row>
    <row r="173" spans="1:23">
      <c r="A173" s="418">
        <v>220</v>
      </c>
      <c r="B173" s="419" t="s">
        <v>50</v>
      </c>
      <c r="C173" s="418">
        <v>91</v>
      </c>
      <c r="D173" s="418">
        <v>33</v>
      </c>
      <c r="E173" s="418">
        <v>61</v>
      </c>
      <c r="F173" s="418">
        <v>70</v>
      </c>
      <c r="G173" s="418">
        <f t="shared" si="11"/>
        <v>255</v>
      </c>
      <c r="H173" s="420">
        <v>0.93410000000000004</v>
      </c>
      <c r="I173" s="421">
        <f>Tabela3[[#This Row],[TOTAL DE ALUNOS ABAIXO DO BÁSICO]]/Tabela3[[#This Row],[TOTAL DE ALUNOS]]*100</f>
        <v>35.686274509803923</v>
      </c>
      <c r="J173" s="421">
        <f>Tabela3[[#This Row],[Abaixo do Básico]]*1</f>
        <v>35.686274509803923</v>
      </c>
      <c r="K173" s="421">
        <f>Tabela3[[#This Row],[TOTAL DE ALUNOS NO BÁSICO]]/Tabela3[[#This Row],[TOTAL DE ALUNOS]]*100</f>
        <v>12.941176470588237</v>
      </c>
      <c r="L173" s="421">
        <f>Tabela3[[#This Row],[Básico]]*2</f>
        <v>25.882352941176475</v>
      </c>
      <c r="M173" s="421">
        <f>Tabela3[[#This Row],[TOTAL DE ALUNOS ADEQUADO]]/Tabela3[[#This Row],[TOTAL DE ALUNOS]]*100</f>
        <v>23.921568627450981</v>
      </c>
      <c r="N173" s="421">
        <f>Tabela3[[#This Row],[Adequado]]*3</f>
        <v>71.764705882352942</v>
      </c>
      <c r="O173" s="421">
        <f>Tabela3[[#This Row],[TOTAL DE ALUNOS AVANÇADO]]/Tabela3[[#This Row],[TOTAL DE ALUNOS]]*100</f>
        <v>27.450980392156865</v>
      </c>
      <c r="P173" s="422">
        <f>Tabela3[[#This Row],[Avançado]]*4</f>
        <v>109.80392156862746</v>
      </c>
      <c r="Q173" s="422">
        <f t="shared" si="12"/>
        <v>243.1372549019608</v>
      </c>
      <c r="R173" s="423">
        <f>Tabela3[[#This Row],[Participação]]*100</f>
        <v>93.410000000000011</v>
      </c>
      <c r="S173" s="422">
        <f t="shared" si="13"/>
        <v>243.1372549019608</v>
      </c>
      <c r="T173" s="421">
        <f>Tabela3[[#This Row],[Meta 2024]]*0.65</f>
        <v>149.654245</v>
      </c>
      <c r="U173" s="421">
        <v>230.2373</v>
      </c>
      <c r="V173" s="422">
        <f t="shared" si="14"/>
        <v>1.1600827233710709</v>
      </c>
      <c r="W173" s="424">
        <f t="shared" si="15"/>
        <v>1</v>
      </c>
    </row>
    <row r="174" spans="1:23">
      <c r="A174" s="418">
        <v>221</v>
      </c>
      <c r="B174" s="419" t="s">
        <v>91</v>
      </c>
      <c r="C174" s="418">
        <v>36</v>
      </c>
      <c r="D174" s="418">
        <v>24</v>
      </c>
      <c r="E174" s="418">
        <v>40</v>
      </c>
      <c r="F174" s="418">
        <v>53</v>
      </c>
      <c r="G174" s="418">
        <f t="shared" si="11"/>
        <v>153</v>
      </c>
      <c r="H174" s="420">
        <v>0.98709999999999998</v>
      </c>
      <c r="I174" s="421">
        <f>Tabela3[[#This Row],[TOTAL DE ALUNOS ABAIXO DO BÁSICO]]/Tabela3[[#This Row],[TOTAL DE ALUNOS]]*100</f>
        <v>23.52941176470588</v>
      </c>
      <c r="J174" s="421">
        <f>Tabela3[[#This Row],[Abaixo do Básico]]*1</f>
        <v>23.52941176470588</v>
      </c>
      <c r="K174" s="421">
        <f>Tabela3[[#This Row],[TOTAL DE ALUNOS NO BÁSICO]]/Tabela3[[#This Row],[TOTAL DE ALUNOS]]*100</f>
        <v>15.686274509803921</v>
      </c>
      <c r="L174" s="421">
        <f>Tabela3[[#This Row],[Básico]]*2</f>
        <v>31.372549019607842</v>
      </c>
      <c r="M174" s="421">
        <f>Tabela3[[#This Row],[TOTAL DE ALUNOS ADEQUADO]]/Tabela3[[#This Row],[TOTAL DE ALUNOS]]*100</f>
        <v>26.143790849673206</v>
      </c>
      <c r="N174" s="421">
        <f>Tabela3[[#This Row],[Adequado]]*3</f>
        <v>78.431372549019613</v>
      </c>
      <c r="O174" s="421">
        <f>Tabela3[[#This Row],[TOTAL DE ALUNOS AVANÇADO]]/Tabela3[[#This Row],[TOTAL DE ALUNOS]]*100</f>
        <v>34.640522875816991</v>
      </c>
      <c r="P174" s="422">
        <f>Tabela3[[#This Row],[Avançado]]*4</f>
        <v>138.56209150326796</v>
      </c>
      <c r="Q174" s="422">
        <f t="shared" si="12"/>
        <v>271.89542483660131</v>
      </c>
      <c r="R174" s="423">
        <f>Tabela3[[#This Row],[Participação]]*100</f>
        <v>98.71</v>
      </c>
      <c r="S174" s="422">
        <f t="shared" si="13"/>
        <v>271.89542483660131</v>
      </c>
      <c r="T174" s="421">
        <f>Tabela3[[#This Row],[Meta 2024]]*0.65</f>
        <v>152.37508</v>
      </c>
      <c r="U174" s="421">
        <v>234.42320000000001</v>
      </c>
      <c r="V174" s="422">
        <f t="shared" si="14"/>
        <v>1.4567103406708319</v>
      </c>
      <c r="W174" s="424">
        <f t="shared" si="15"/>
        <v>1</v>
      </c>
    </row>
    <row r="175" spans="1:23">
      <c r="A175" s="418">
        <v>222</v>
      </c>
      <c r="B175" s="419" t="s">
        <v>46</v>
      </c>
      <c r="C175" s="418">
        <v>40</v>
      </c>
      <c r="D175" s="418">
        <v>18</v>
      </c>
      <c r="E175" s="418">
        <v>34</v>
      </c>
      <c r="F175" s="418">
        <v>42</v>
      </c>
      <c r="G175" s="418">
        <f t="shared" si="11"/>
        <v>134</v>
      </c>
      <c r="H175" s="420">
        <v>0.90539999999999998</v>
      </c>
      <c r="I175" s="421">
        <f>Tabela3[[#This Row],[TOTAL DE ALUNOS ABAIXO DO BÁSICO]]/Tabela3[[#This Row],[TOTAL DE ALUNOS]]*100</f>
        <v>29.850746268656714</v>
      </c>
      <c r="J175" s="421">
        <f>Tabela3[[#This Row],[Abaixo do Básico]]*1</f>
        <v>29.850746268656714</v>
      </c>
      <c r="K175" s="421">
        <f>Tabela3[[#This Row],[TOTAL DE ALUNOS NO BÁSICO]]/Tabela3[[#This Row],[TOTAL DE ALUNOS]]*100</f>
        <v>13.432835820895523</v>
      </c>
      <c r="L175" s="421">
        <f>Tabela3[[#This Row],[Básico]]*2</f>
        <v>26.865671641791046</v>
      </c>
      <c r="M175" s="421">
        <f>Tabela3[[#This Row],[TOTAL DE ALUNOS ADEQUADO]]/Tabela3[[#This Row],[TOTAL DE ALUNOS]]*100</f>
        <v>25.373134328358208</v>
      </c>
      <c r="N175" s="421">
        <f>Tabela3[[#This Row],[Adequado]]*3</f>
        <v>76.119402985074629</v>
      </c>
      <c r="O175" s="421">
        <f>Tabela3[[#This Row],[TOTAL DE ALUNOS AVANÇADO]]/Tabela3[[#This Row],[TOTAL DE ALUNOS]]*100</f>
        <v>31.343283582089555</v>
      </c>
      <c r="P175" s="422">
        <f>Tabela3[[#This Row],[Avançado]]*4</f>
        <v>125.37313432835822</v>
      </c>
      <c r="Q175" s="422">
        <f t="shared" si="12"/>
        <v>258.20895522388059</v>
      </c>
      <c r="R175" s="423">
        <f>Tabela3[[#This Row],[Participação]]*100</f>
        <v>90.539999999999992</v>
      </c>
      <c r="S175" s="422">
        <f t="shared" si="13"/>
        <v>258.20895522388059</v>
      </c>
      <c r="T175" s="421">
        <f>Tabela3[[#This Row],[Meta 2024]]*0.65</f>
        <v>150.61514</v>
      </c>
      <c r="U175" s="421">
        <v>231.71559999999999</v>
      </c>
      <c r="V175" s="422">
        <f t="shared" si="14"/>
        <v>1.3266733039970502</v>
      </c>
      <c r="W175" s="424">
        <f t="shared" si="15"/>
        <v>1</v>
      </c>
    </row>
    <row r="176" spans="1:23">
      <c r="A176" s="418">
        <v>223</v>
      </c>
      <c r="B176" s="419" t="s">
        <v>54</v>
      </c>
      <c r="C176" s="418">
        <v>17</v>
      </c>
      <c r="D176" s="418">
        <v>10</v>
      </c>
      <c r="E176" s="418">
        <v>14</v>
      </c>
      <c r="F176" s="418">
        <v>23</v>
      </c>
      <c r="G176" s="418">
        <f t="shared" si="11"/>
        <v>64</v>
      </c>
      <c r="H176" s="420">
        <v>0.8</v>
      </c>
      <c r="I176" s="421">
        <f>Tabela3[[#This Row],[TOTAL DE ALUNOS ABAIXO DO BÁSICO]]/Tabela3[[#This Row],[TOTAL DE ALUNOS]]*100</f>
        <v>26.5625</v>
      </c>
      <c r="J176" s="421">
        <f>Tabela3[[#This Row],[Abaixo do Básico]]*1</f>
        <v>26.5625</v>
      </c>
      <c r="K176" s="421">
        <f>Tabela3[[#This Row],[TOTAL DE ALUNOS NO BÁSICO]]/Tabela3[[#This Row],[TOTAL DE ALUNOS]]*100</f>
        <v>15.625</v>
      </c>
      <c r="L176" s="421">
        <f>Tabela3[[#This Row],[Básico]]*2</f>
        <v>31.25</v>
      </c>
      <c r="M176" s="421">
        <f>Tabela3[[#This Row],[TOTAL DE ALUNOS ADEQUADO]]/Tabela3[[#This Row],[TOTAL DE ALUNOS]]*100</f>
        <v>21.875</v>
      </c>
      <c r="N176" s="421">
        <f>Tabela3[[#This Row],[Adequado]]*3</f>
        <v>65.625</v>
      </c>
      <c r="O176" s="421">
        <f>Tabela3[[#This Row],[TOTAL DE ALUNOS AVANÇADO]]/Tabela3[[#This Row],[TOTAL DE ALUNOS]]*100</f>
        <v>35.9375</v>
      </c>
      <c r="P176" s="422">
        <f>Tabela3[[#This Row],[Avançado]]*4</f>
        <v>143.75</v>
      </c>
      <c r="Q176" s="422">
        <f t="shared" si="12"/>
        <v>267.1875</v>
      </c>
      <c r="R176" s="423">
        <f>Tabela3[[#This Row],[Participação]]*100</f>
        <v>80</v>
      </c>
      <c r="S176" s="422">
        <f t="shared" si="13"/>
        <v>267.1875</v>
      </c>
      <c r="T176" s="421">
        <f>Tabela3[[#This Row],[Meta 2024]]*0.65</f>
        <v>162.44969</v>
      </c>
      <c r="U176" s="421">
        <v>249.92259999999999</v>
      </c>
      <c r="V176" s="422">
        <f t="shared" si="14"/>
        <v>1.1973742499249198</v>
      </c>
      <c r="W176" s="424">
        <f t="shared" si="15"/>
        <v>1</v>
      </c>
    </row>
    <row r="177" spans="1:23">
      <c r="A177" s="418">
        <v>224</v>
      </c>
      <c r="B177" s="419" t="s">
        <v>165</v>
      </c>
      <c r="C177" s="418">
        <v>71</v>
      </c>
      <c r="D177" s="418">
        <v>20</v>
      </c>
      <c r="E177" s="418">
        <v>26</v>
      </c>
      <c r="F177" s="418">
        <v>20</v>
      </c>
      <c r="G177" s="418">
        <f t="shared" si="11"/>
        <v>137</v>
      </c>
      <c r="H177" s="420">
        <v>0.87819999999999998</v>
      </c>
      <c r="I177" s="421">
        <f>Tabela3[[#This Row],[TOTAL DE ALUNOS ABAIXO DO BÁSICO]]/Tabela3[[#This Row],[TOTAL DE ALUNOS]]*100</f>
        <v>51.824817518248182</v>
      </c>
      <c r="J177" s="421">
        <f>Tabela3[[#This Row],[Abaixo do Básico]]*1</f>
        <v>51.824817518248182</v>
      </c>
      <c r="K177" s="421">
        <f>Tabela3[[#This Row],[TOTAL DE ALUNOS NO BÁSICO]]/Tabela3[[#This Row],[TOTAL DE ALUNOS]]*100</f>
        <v>14.5985401459854</v>
      </c>
      <c r="L177" s="421">
        <f>Tabela3[[#This Row],[Básico]]*2</f>
        <v>29.197080291970799</v>
      </c>
      <c r="M177" s="421">
        <f>Tabela3[[#This Row],[TOTAL DE ALUNOS ADEQUADO]]/Tabela3[[#This Row],[TOTAL DE ALUNOS]]*100</f>
        <v>18.978102189781019</v>
      </c>
      <c r="N177" s="421">
        <f>Tabela3[[#This Row],[Adequado]]*3</f>
        <v>56.934306569343057</v>
      </c>
      <c r="O177" s="421">
        <f>Tabela3[[#This Row],[TOTAL DE ALUNOS AVANÇADO]]/Tabela3[[#This Row],[TOTAL DE ALUNOS]]*100</f>
        <v>14.5985401459854</v>
      </c>
      <c r="P177" s="422">
        <f>Tabela3[[#This Row],[Avançado]]*4</f>
        <v>58.394160583941598</v>
      </c>
      <c r="Q177" s="422">
        <f t="shared" si="12"/>
        <v>196.35036496350364</v>
      </c>
      <c r="R177" s="423">
        <f>Tabela3[[#This Row],[Participação]]*100</f>
        <v>87.82</v>
      </c>
      <c r="S177" s="422">
        <f t="shared" si="13"/>
        <v>196.35036496350364</v>
      </c>
      <c r="T177" s="421">
        <f>Tabela3[[#This Row],[Meta 2024]]*0.65</f>
        <v>121.31977000000001</v>
      </c>
      <c r="U177" s="421">
        <v>186.64580000000001</v>
      </c>
      <c r="V177" s="422">
        <f t="shared" si="14"/>
        <v>1.1485558660690636</v>
      </c>
      <c r="W177" s="424">
        <f t="shared" si="15"/>
        <v>1</v>
      </c>
    </row>
    <row r="178" spans="1:23">
      <c r="A178" s="418">
        <v>225</v>
      </c>
      <c r="B178" s="419" t="s">
        <v>117</v>
      </c>
      <c r="C178" s="418">
        <v>46</v>
      </c>
      <c r="D178" s="418">
        <v>19</v>
      </c>
      <c r="E178" s="418">
        <v>23</v>
      </c>
      <c r="F178" s="418">
        <v>19</v>
      </c>
      <c r="G178" s="418">
        <f t="shared" si="11"/>
        <v>107</v>
      </c>
      <c r="H178" s="420">
        <v>0.94689999999999996</v>
      </c>
      <c r="I178" s="421">
        <f>Tabela3[[#This Row],[TOTAL DE ALUNOS ABAIXO DO BÁSICO]]/Tabela3[[#This Row],[TOTAL DE ALUNOS]]*100</f>
        <v>42.990654205607477</v>
      </c>
      <c r="J178" s="421">
        <f>Tabela3[[#This Row],[Abaixo do Básico]]*1</f>
        <v>42.990654205607477</v>
      </c>
      <c r="K178" s="421">
        <f>Tabela3[[#This Row],[TOTAL DE ALUNOS NO BÁSICO]]/Tabela3[[#This Row],[TOTAL DE ALUNOS]]*100</f>
        <v>17.75700934579439</v>
      </c>
      <c r="L178" s="421">
        <f>Tabela3[[#This Row],[Básico]]*2</f>
        <v>35.514018691588781</v>
      </c>
      <c r="M178" s="421">
        <f>Tabela3[[#This Row],[TOTAL DE ALUNOS ADEQUADO]]/Tabela3[[#This Row],[TOTAL DE ALUNOS]]*100</f>
        <v>21.495327102803738</v>
      </c>
      <c r="N178" s="421">
        <f>Tabela3[[#This Row],[Adequado]]*3</f>
        <v>64.485981308411212</v>
      </c>
      <c r="O178" s="421">
        <f>Tabela3[[#This Row],[TOTAL DE ALUNOS AVANÇADO]]/Tabela3[[#This Row],[TOTAL DE ALUNOS]]*100</f>
        <v>17.75700934579439</v>
      </c>
      <c r="P178" s="422">
        <f>Tabela3[[#This Row],[Avançado]]*4</f>
        <v>71.028037383177562</v>
      </c>
      <c r="Q178" s="422">
        <f t="shared" si="12"/>
        <v>214.01869158878503</v>
      </c>
      <c r="R178" s="423">
        <f>Tabela3[[#This Row],[Participação]]*100</f>
        <v>94.69</v>
      </c>
      <c r="S178" s="422">
        <f t="shared" si="13"/>
        <v>214.01869158878503</v>
      </c>
      <c r="T178" s="421">
        <f>Tabela3[[#This Row],[Meta 2024]]*0.65</f>
        <v>161.93514999999999</v>
      </c>
      <c r="U178" s="421">
        <v>249.131</v>
      </c>
      <c r="V178" s="422">
        <f t="shared" si="14"/>
        <v>0.59731674831755222</v>
      </c>
      <c r="W178" s="424">
        <f t="shared" si="15"/>
        <v>0.59731674831755222</v>
      </c>
    </row>
    <row r="179" spans="1:23">
      <c r="A179" s="418">
        <v>226</v>
      </c>
      <c r="B179" s="419" t="s">
        <v>209</v>
      </c>
      <c r="C179" s="418">
        <v>63</v>
      </c>
      <c r="D179" s="418">
        <v>20</v>
      </c>
      <c r="E179" s="418">
        <v>45</v>
      </c>
      <c r="F179" s="418">
        <v>16</v>
      </c>
      <c r="G179" s="418">
        <f t="shared" si="11"/>
        <v>144</v>
      </c>
      <c r="H179" s="420">
        <v>0.86229999999999996</v>
      </c>
      <c r="I179" s="421">
        <f>Tabela3[[#This Row],[TOTAL DE ALUNOS ABAIXO DO BÁSICO]]/Tabela3[[#This Row],[TOTAL DE ALUNOS]]*100</f>
        <v>43.75</v>
      </c>
      <c r="J179" s="421">
        <f>Tabela3[[#This Row],[Abaixo do Básico]]*1</f>
        <v>43.75</v>
      </c>
      <c r="K179" s="421">
        <f>Tabela3[[#This Row],[TOTAL DE ALUNOS NO BÁSICO]]/Tabela3[[#This Row],[TOTAL DE ALUNOS]]*100</f>
        <v>13.888888888888889</v>
      </c>
      <c r="L179" s="421">
        <f>Tabela3[[#This Row],[Básico]]*2</f>
        <v>27.777777777777779</v>
      </c>
      <c r="M179" s="421">
        <f>Tabela3[[#This Row],[TOTAL DE ALUNOS ADEQUADO]]/Tabela3[[#This Row],[TOTAL DE ALUNOS]]*100</f>
        <v>31.25</v>
      </c>
      <c r="N179" s="421">
        <f>Tabela3[[#This Row],[Adequado]]*3</f>
        <v>93.75</v>
      </c>
      <c r="O179" s="421">
        <f>Tabela3[[#This Row],[TOTAL DE ALUNOS AVANÇADO]]/Tabela3[[#This Row],[TOTAL DE ALUNOS]]*100</f>
        <v>11.111111111111111</v>
      </c>
      <c r="P179" s="422">
        <f>Tabela3[[#This Row],[Avançado]]*4</f>
        <v>44.444444444444443</v>
      </c>
      <c r="Q179" s="422">
        <f t="shared" si="12"/>
        <v>209.72222222222223</v>
      </c>
      <c r="R179" s="423">
        <f>Tabela3[[#This Row],[Participação]]*100</f>
        <v>86.22999999999999</v>
      </c>
      <c r="S179" s="422">
        <f t="shared" si="13"/>
        <v>209.72222222222223</v>
      </c>
      <c r="T179" s="421">
        <f>Tabela3[[#This Row],[Meta 2024]]*0.65</f>
        <v>137.36554000000001</v>
      </c>
      <c r="U179" s="421">
        <v>211.33160000000001</v>
      </c>
      <c r="V179" s="422">
        <f t="shared" si="14"/>
        <v>0.97824167222402036</v>
      </c>
      <c r="W179" s="424">
        <f t="shared" si="15"/>
        <v>0.97824167222402036</v>
      </c>
    </row>
    <row r="180" spans="1:23">
      <c r="A180" s="418">
        <v>227</v>
      </c>
      <c r="B180" s="419" t="s">
        <v>30</v>
      </c>
      <c r="C180" s="418">
        <v>76</v>
      </c>
      <c r="D180" s="418">
        <v>25</v>
      </c>
      <c r="E180" s="418">
        <v>59</v>
      </c>
      <c r="F180" s="418">
        <v>33</v>
      </c>
      <c r="G180" s="418">
        <f t="shared" si="11"/>
        <v>193</v>
      </c>
      <c r="H180" s="420">
        <v>0.88129999999999997</v>
      </c>
      <c r="I180" s="421">
        <f>Tabela3[[#This Row],[TOTAL DE ALUNOS ABAIXO DO BÁSICO]]/Tabela3[[#This Row],[TOTAL DE ALUNOS]]*100</f>
        <v>39.37823834196891</v>
      </c>
      <c r="J180" s="421">
        <f>Tabela3[[#This Row],[Abaixo do Básico]]*1</f>
        <v>39.37823834196891</v>
      </c>
      <c r="K180" s="421">
        <f>Tabela3[[#This Row],[TOTAL DE ALUNOS NO BÁSICO]]/Tabela3[[#This Row],[TOTAL DE ALUNOS]]*100</f>
        <v>12.953367875647666</v>
      </c>
      <c r="L180" s="421">
        <f>Tabela3[[#This Row],[Básico]]*2</f>
        <v>25.906735751295333</v>
      </c>
      <c r="M180" s="421">
        <f>Tabela3[[#This Row],[TOTAL DE ALUNOS ADEQUADO]]/Tabela3[[#This Row],[TOTAL DE ALUNOS]]*100</f>
        <v>30.569948186528496</v>
      </c>
      <c r="N180" s="421">
        <f>Tabela3[[#This Row],[Adequado]]*3</f>
        <v>91.709844559585491</v>
      </c>
      <c r="O180" s="421">
        <f>Tabela3[[#This Row],[TOTAL DE ALUNOS AVANÇADO]]/Tabela3[[#This Row],[TOTAL DE ALUNOS]]*100</f>
        <v>17.098445595854923</v>
      </c>
      <c r="P180" s="422">
        <f>Tabela3[[#This Row],[Avançado]]*4</f>
        <v>68.393782383419691</v>
      </c>
      <c r="Q180" s="422">
        <f t="shared" si="12"/>
        <v>225.38860103626945</v>
      </c>
      <c r="R180" s="423">
        <f>Tabela3[[#This Row],[Participação]]*100</f>
        <v>88.13</v>
      </c>
      <c r="S180" s="422">
        <f t="shared" si="13"/>
        <v>225.38860103626945</v>
      </c>
      <c r="T180" s="421">
        <f>Tabela3[[#This Row],[Meta 2024]]*0.65</f>
        <v>150.37178</v>
      </c>
      <c r="U180" s="421">
        <v>231.34119999999999</v>
      </c>
      <c r="V180" s="422">
        <f t="shared" si="14"/>
        <v>0.9264833691073675</v>
      </c>
      <c r="W180" s="424">
        <f t="shared" si="15"/>
        <v>0.9264833691073675</v>
      </c>
    </row>
    <row r="181" spans="1:23">
      <c r="A181" s="418">
        <v>228</v>
      </c>
      <c r="B181" s="419" t="s">
        <v>47</v>
      </c>
      <c r="C181" s="418">
        <v>65</v>
      </c>
      <c r="D181" s="418">
        <v>15</v>
      </c>
      <c r="E181" s="418">
        <v>45</v>
      </c>
      <c r="F181" s="418">
        <v>29</v>
      </c>
      <c r="G181" s="418">
        <f t="shared" si="11"/>
        <v>154</v>
      </c>
      <c r="H181" s="420">
        <v>0.83240000000000003</v>
      </c>
      <c r="I181" s="421">
        <f>Tabela3[[#This Row],[TOTAL DE ALUNOS ABAIXO DO BÁSICO]]/Tabela3[[#This Row],[TOTAL DE ALUNOS]]*100</f>
        <v>42.207792207792203</v>
      </c>
      <c r="J181" s="421">
        <f>Tabela3[[#This Row],[Abaixo do Básico]]*1</f>
        <v>42.207792207792203</v>
      </c>
      <c r="K181" s="421">
        <f>Tabela3[[#This Row],[TOTAL DE ALUNOS NO BÁSICO]]/Tabela3[[#This Row],[TOTAL DE ALUNOS]]*100</f>
        <v>9.7402597402597415</v>
      </c>
      <c r="L181" s="421">
        <f>Tabela3[[#This Row],[Básico]]*2</f>
        <v>19.480519480519483</v>
      </c>
      <c r="M181" s="421">
        <f>Tabela3[[#This Row],[TOTAL DE ALUNOS ADEQUADO]]/Tabela3[[#This Row],[TOTAL DE ALUNOS]]*100</f>
        <v>29.220779220779221</v>
      </c>
      <c r="N181" s="421">
        <f>Tabela3[[#This Row],[Adequado]]*3</f>
        <v>87.662337662337663</v>
      </c>
      <c r="O181" s="421">
        <f>Tabela3[[#This Row],[TOTAL DE ALUNOS AVANÇADO]]/Tabela3[[#This Row],[TOTAL DE ALUNOS]]*100</f>
        <v>18.831168831168831</v>
      </c>
      <c r="P181" s="422">
        <f>Tabela3[[#This Row],[Avançado]]*4</f>
        <v>75.324675324675326</v>
      </c>
      <c r="Q181" s="422">
        <f t="shared" si="12"/>
        <v>224.67532467532467</v>
      </c>
      <c r="R181" s="423">
        <f>Tabela3[[#This Row],[Participação]]*100</f>
        <v>83.240000000000009</v>
      </c>
      <c r="S181" s="422">
        <f t="shared" si="13"/>
        <v>224.67532467532467</v>
      </c>
      <c r="T181" s="421">
        <f>Tabela3[[#This Row],[Meta 2024]]*0.65</f>
        <v>148.71863500000001</v>
      </c>
      <c r="U181" s="421">
        <v>228.7979</v>
      </c>
      <c r="V181" s="422">
        <f t="shared" si="14"/>
        <v>0.9485188166415448</v>
      </c>
      <c r="W181" s="424">
        <f t="shared" si="15"/>
        <v>0.9485188166415448</v>
      </c>
    </row>
    <row r="182" spans="1:23">
      <c r="A182" s="418">
        <v>229</v>
      </c>
      <c r="B182" s="419" t="s">
        <v>151</v>
      </c>
      <c r="C182" s="418">
        <v>58</v>
      </c>
      <c r="D182" s="418">
        <v>24</v>
      </c>
      <c r="E182" s="418">
        <v>31</v>
      </c>
      <c r="F182" s="418">
        <v>13</v>
      </c>
      <c r="G182" s="418">
        <f t="shared" si="11"/>
        <v>126</v>
      </c>
      <c r="H182" s="420">
        <v>0.79249999999999998</v>
      </c>
      <c r="I182" s="421">
        <f>Tabela3[[#This Row],[TOTAL DE ALUNOS ABAIXO DO BÁSICO]]/Tabela3[[#This Row],[TOTAL DE ALUNOS]]*100</f>
        <v>46.031746031746032</v>
      </c>
      <c r="J182" s="421">
        <f>Tabela3[[#This Row],[Abaixo do Básico]]*1</f>
        <v>46.031746031746032</v>
      </c>
      <c r="K182" s="421">
        <f>Tabela3[[#This Row],[TOTAL DE ALUNOS NO BÁSICO]]/Tabela3[[#This Row],[TOTAL DE ALUNOS]]*100</f>
        <v>19.047619047619047</v>
      </c>
      <c r="L182" s="421">
        <f>Tabela3[[#This Row],[Básico]]*2</f>
        <v>38.095238095238095</v>
      </c>
      <c r="M182" s="421">
        <f>Tabela3[[#This Row],[TOTAL DE ALUNOS ADEQUADO]]/Tabela3[[#This Row],[TOTAL DE ALUNOS]]*100</f>
        <v>24.603174603174601</v>
      </c>
      <c r="N182" s="421">
        <f>Tabela3[[#This Row],[Adequado]]*3</f>
        <v>73.809523809523796</v>
      </c>
      <c r="O182" s="421">
        <f>Tabela3[[#This Row],[TOTAL DE ALUNOS AVANÇADO]]/Tabela3[[#This Row],[TOTAL DE ALUNOS]]*100</f>
        <v>10.317460317460316</v>
      </c>
      <c r="P182" s="422">
        <f>Tabela3[[#This Row],[Avançado]]*4</f>
        <v>41.269841269841265</v>
      </c>
      <c r="Q182" s="422">
        <f t="shared" si="12"/>
        <v>199.20634920634919</v>
      </c>
      <c r="R182" s="423">
        <f>Tabela3[[#This Row],[Participação]]*100</f>
        <v>79.25</v>
      </c>
      <c r="S182" s="422">
        <f t="shared" si="13"/>
        <v>199.20634920634919</v>
      </c>
      <c r="T182" s="421">
        <f>Tabela3[[#This Row],[Meta 2024]]*0.65</f>
        <v>130.63154</v>
      </c>
      <c r="U182" s="421">
        <v>200.9716</v>
      </c>
      <c r="V182" s="422">
        <f t="shared" si="14"/>
        <v>0.97490404765576244</v>
      </c>
      <c r="W182" s="424">
        <f t="shared" si="15"/>
        <v>0.97490404765576244</v>
      </c>
    </row>
    <row r="183" spans="1:23">
      <c r="A183" s="418">
        <v>230</v>
      </c>
      <c r="B183" s="419" t="s">
        <v>141</v>
      </c>
      <c r="C183" s="418">
        <v>44</v>
      </c>
      <c r="D183" s="418">
        <v>14</v>
      </c>
      <c r="E183" s="418">
        <v>25</v>
      </c>
      <c r="F183" s="418">
        <v>23</v>
      </c>
      <c r="G183" s="418">
        <f t="shared" si="11"/>
        <v>106</v>
      </c>
      <c r="H183" s="420">
        <v>0.97250000000000003</v>
      </c>
      <c r="I183" s="421">
        <f>Tabela3[[#This Row],[TOTAL DE ALUNOS ABAIXO DO BÁSICO]]/Tabela3[[#This Row],[TOTAL DE ALUNOS]]*100</f>
        <v>41.509433962264154</v>
      </c>
      <c r="J183" s="421">
        <f>Tabela3[[#This Row],[Abaixo do Básico]]*1</f>
        <v>41.509433962264154</v>
      </c>
      <c r="K183" s="421">
        <f>Tabela3[[#This Row],[TOTAL DE ALUNOS NO BÁSICO]]/Tabela3[[#This Row],[TOTAL DE ALUNOS]]*100</f>
        <v>13.20754716981132</v>
      </c>
      <c r="L183" s="421">
        <f>Tabela3[[#This Row],[Básico]]*2</f>
        <v>26.415094339622641</v>
      </c>
      <c r="M183" s="421">
        <f>Tabela3[[#This Row],[TOTAL DE ALUNOS ADEQUADO]]/Tabela3[[#This Row],[TOTAL DE ALUNOS]]*100</f>
        <v>23.584905660377359</v>
      </c>
      <c r="N183" s="421">
        <f>Tabela3[[#This Row],[Adequado]]*3</f>
        <v>70.754716981132077</v>
      </c>
      <c r="O183" s="421">
        <f>Tabela3[[#This Row],[TOTAL DE ALUNOS AVANÇADO]]/Tabela3[[#This Row],[TOTAL DE ALUNOS]]*100</f>
        <v>21.69811320754717</v>
      </c>
      <c r="P183" s="422">
        <f>Tabela3[[#This Row],[Avançado]]*4</f>
        <v>86.79245283018868</v>
      </c>
      <c r="Q183" s="422">
        <f t="shared" si="12"/>
        <v>225.47169811320754</v>
      </c>
      <c r="R183" s="423">
        <f>Tabela3[[#This Row],[Participação]]*100</f>
        <v>97.25</v>
      </c>
      <c r="S183" s="422">
        <f t="shared" si="13"/>
        <v>225.47169811320754</v>
      </c>
      <c r="T183" s="421">
        <f>Tabela3[[#This Row],[Meta 2024]]*0.65</f>
        <v>138.61919500000002</v>
      </c>
      <c r="U183" s="421">
        <v>213.2603</v>
      </c>
      <c r="V183" s="422">
        <f t="shared" si="14"/>
        <v>1.1636015184020594</v>
      </c>
      <c r="W183" s="424">
        <f t="shared" si="15"/>
        <v>1</v>
      </c>
    </row>
    <row r="184" spans="1:23">
      <c r="A184" s="418">
        <v>231</v>
      </c>
      <c r="B184" s="419" t="s">
        <v>41</v>
      </c>
      <c r="C184" s="418">
        <v>94</v>
      </c>
      <c r="D184" s="418">
        <v>22</v>
      </c>
      <c r="E184" s="418">
        <v>62</v>
      </c>
      <c r="F184" s="418">
        <v>38</v>
      </c>
      <c r="G184" s="418">
        <f t="shared" si="11"/>
        <v>216</v>
      </c>
      <c r="H184" s="420">
        <v>0.96430000000000005</v>
      </c>
      <c r="I184" s="421">
        <f>Tabela3[[#This Row],[TOTAL DE ALUNOS ABAIXO DO BÁSICO]]/Tabela3[[#This Row],[TOTAL DE ALUNOS]]*100</f>
        <v>43.518518518518519</v>
      </c>
      <c r="J184" s="421">
        <f>Tabela3[[#This Row],[Abaixo do Básico]]*1</f>
        <v>43.518518518518519</v>
      </c>
      <c r="K184" s="421">
        <f>Tabela3[[#This Row],[TOTAL DE ALUNOS NO BÁSICO]]/Tabela3[[#This Row],[TOTAL DE ALUNOS]]*100</f>
        <v>10.185185185185185</v>
      </c>
      <c r="L184" s="421">
        <f>Tabela3[[#This Row],[Básico]]*2</f>
        <v>20.37037037037037</v>
      </c>
      <c r="M184" s="421">
        <f>Tabela3[[#This Row],[TOTAL DE ALUNOS ADEQUADO]]/Tabela3[[#This Row],[TOTAL DE ALUNOS]]*100</f>
        <v>28.703703703703702</v>
      </c>
      <c r="N184" s="421">
        <f>Tabela3[[#This Row],[Adequado]]*3</f>
        <v>86.111111111111114</v>
      </c>
      <c r="O184" s="421">
        <f>Tabela3[[#This Row],[TOTAL DE ALUNOS AVANÇADO]]/Tabela3[[#This Row],[TOTAL DE ALUNOS]]*100</f>
        <v>17.592592592592592</v>
      </c>
      <c r="P184" s="422">
        <f>Tabela3[[#This Row],[Avançado]]*4</f>
        <v>70.370370370370367</v>
      </c>
      <c r="Q184" s="422">
        <f t="shared" si="12"/>
        <v>220.37037037037038</v>
      </c>
      <c r="R184" s="423">
        <f>Tabela3[[#This Row],[Participação]]*100</f>
        <v>96.43</v>
      </c>
      <c r="S184" s="422">
        <f t="shared" si="13"/>
        <v>220.37037037037038</v>
      </c>
      <c r="T184" s="421">
        <f>Tabela3[[#This Row],[Meta 2024]]*0.65</f>
        <v>142.65686500000001</v>
      </c>
      <c r="U184" s="421">
        <v>219.47210000000001</v>
      </c>
      <c r="V184" s="422">
        <f t="shared" si="14"/>
        <v>1.0116939090321129</v>
      </c>
      <c r="W184" s="424">
        <f t="shared" si="15"/>
        <v>1</v>
      </c>
    </row>
    <row r="185" spans="1:23">
      <c r="A185" s="418">
        <v>232</v>
      </c>
      <c r="B185" s="419" t="s">
        <v>107</v>
      </c>
      <c r="C185" s="418">
        <v>29</v>
      </c>
      <c r="D185" s="418">
        <v>19</v>
      </c>
      <c r="E185" s="418">
        <v>28</v>
      </c>
      <c r="F185" s="418">
        <v>37</v>
      </c>
      <c r="G185" s="418">
        <f t="shared" si="11"/>
        <v>113</v>
      </c>
      <c r="H185" s="420">
        <v>0.9496</v>
      </c>
      <c r="I185" s="421">
        <f>Tabela3[[#This Row],[TOTAL DE ALUNOS ABAIXO DO BÁSICO]]/Tabela3[[#This Row],[TOTAL DE ALUNOS]]*100</f>
        <v>25.663716814159294</v>
      </c>
      <c r="J185" s="421">
        <f>Tabela3[[#This Row],[Abaixo do Básico]]*1</f>
        <v>25.663716814159294</v>
      </c>
      <c r="K185" s="421">
        <f>Tabela3[[#This Row],[TOTAL DE ALUNOS NO BÁSICO]]/Tabela3[[#This Row],[TOTAL DE ALUNOS]]*100</f>
        <v>16.814159292035399</v>
      </c>
      <c r="L185" s="421">
        <f>Tabela3[[#This Row],[Básico]]*2</f>
        <v>33.628318584070797</v>
      </c>
      <c r="M185" s="421">
        <f>Tabela3[[#This Row],[TOTAL DE ALUNOS ADEQUADO]]/Tabela3[[#This Row],[TOTAL DE ALUNOS]]*100</f>
        <v>24.778761061946902</v>
      </c>
      <c r="N185" s="421">
        <f>Tabela3[[#This Row],[Adequado]]*3</f>
        <v>74.336283185840699</v>
      </c>
      <c r="O185" s="421">
        <f>Tabela3[[#This Row],[TOTAL DE ALUNOS AVANÇADO]]/Tabela3[[#This Row],[TOTAL DE ALUNOS]]*100</f>
        <v>32.743362831858406</v>
      </c>
      <c r="P185" s="422">
        <f>Tabela3[[#This Row],[Avançado]]*4</f>
        <v>130.97345132743362</v>
      </c>
      <c r="Q185" s="422">
        <f t="shared" si="12"/>
        <v>264.60176991150445</v>
      </c>
      <c r="R185" s="423">
        <f>Tabela3[[#This Row],[Participação]]*100</f>
        <v>94.96</v>
      </c>
      <c r="S185" s="422">
        <f t="shared" si="13"/>
        <v>264.60176991150445</v>
      </c>
      <c r="T185" s="421">
        <f>Tabela3[[#This Row],[Meta 2024]]*0.65</f>
        <v>167.94023999999999</v>
      </c>
      <c r="U185" s="421">
        <v>258.36959999999999</v>
      </c>
      <c r="V185" s="422">
        <f t="shared" si="14"/>
        <v>1.0689175496929808</v>
      </c>
      <c r="W185" s="424">
        <f t="shared" si="15"/>
        <v>1</v>
      </c>
    </row>
    <row r="186" spans="1:23">
      <c r="A186" s="418">
        <v>233</v>
      </c>
      <c r="B186" s="419" t="s">
        <v>21</v>
      </c>
      <c r="C186" s="418">
        <v>54</v>
      </c>
      <c r="D186" s="418">
        <v>13</v>
      </c>
      <c r="E186" s="418">
        <v>18</v>
      </c>
      <c r="F186" s="418">
        <v>7</v>
      </c>
      <c r="G186" s="418">
        <f t="shared" si="11"/>
        <v>92</v>
      </c>
      <c r="H186" s="420">
        <v>0.7863</v>
      </c>
      <c r="I186" s="421">
        <f>Tabela3[[#This Row],[TOTAL DE ALUNOS ABAIXO DO BÁSICO]]/Tabela3[[#This Row],[TOTAL DE ALUNOS]]*100</f>
        <v>58.695652173913047</v>
      </c>
      <c r="J186" s="421">
        <f>Tabela3[[#This Row],[Abaixo do Básico]]*1</f>
        <v>58.695652173913047</v>
      </c>
      <c r="K186" s="421">
        <f>Tabela3[[#This Row],[TOTAL DE ALUNOS NO BÁSICO]]/Tabela3[[#This Row],[TOTAL DE ALUNOS]]*100</f>
        <v>14.130434782608695</v>
      </c>
      <c r="L186" s="421">
        <f>Tabela3[[#This Row],[Básico]]*2</f>
        <v>28.260869565217391</v>
      </c>
      <c r="M186" s="421">
        <f>Tabela3[[#This Row],[TOTAL DE ALUNOS ADEQUADO]]/Tabela3[[#This Row],[TOTAL DE ALUNOS]]*100</f>
        <v>19.565217391304348</v>
      </c>
      <c r="N186" s="421">
        <f>Tabela3[[#This Row],[Adequado]]*3</f>
        <v>58.695652173913047</v>
      </c>
      <c r="O186" s="421">
        <f>Tabela3[[#This Row],[TOTAL DE ALUNOS AVANÇADO]]/Tabela3[[#This Row],[TOTAL DE ALUNOS]]*100</f>
        <v>7.608695652173914</v>
      </c>
      <c r="P186" s="422">
        <f>Tabela3[[#This Row],[Avançado]]*4</f>
        <v>30.434782608695656</v>
      </c>
      <c r="Q186" s="422">
        <f t="shared" si="12"/>
        <v>176.08695652173915</v>
      </c>
      <c r="R186" s="423">
        <f>Tabela3[[#This Row],[Participação]]*100</f>
        <v>78.63</v>
      </c>
      <c r="S186" s="422">
        <f t="shared" si="13"/>
        <v>176.08695652173915</v>
      </c>
      <c r="T186" s="421">
        <f>Tabela3[[#This Row],[Meta 2024]]*0.65</f>
        <v>132.36314000000002</v>
      </c>
      <c r="U186" s="421">
        <v>203.63560000000001</v>
      </c>
      <c r="V186" s="422">
        <f t="shared" si="14"/>
        <v>0.61347421601189489</v>
      </c>
      <c r="W186" s="424">
        <f t="shared" si="15"/>
        <v>0.61347421601189489</v>
      </c>
    </row>
    <row r="187" spans="1:23">
      <c r="A187" s="418">
        <v>234</v>
      </c>
      <c r="B187" s="419" t="s">
        <v>170</v>
      </c>
      <c r="C187" s="418">
        <v>68</v>
      </c>
      <c r="D187" s="418">
        <v>19</v>
      </c>
      <c r="E187" s="418">
        <v>41</v>
      </c>
      <c r="F187" s="418">
        <v>40</v>
      </c>
      <c r="G187" s="418">
        <f t="shared" si="11"/>
        <v>168</v>
      </c>
      <c r="H187" s="420">
        <v>0.91300000000000003</v>
      </c>
      <c r="I187" s="421">
        <f>Tabela3[[#This Row],[TOTAL DE ALUNOS ABAIXO DO BÁSICO]]/Tabela3[[#This Row],[TOTAL DE ALUNOS]]*100</f>
        <v>40.476190476190474</v>
      </c>
      <c r="J187" s="421">
        <f>Tabela3[[#This Row],[Abaixo do Básico]]*1</f>
        <v>40.476190476190474</v>
      </c>
      <c r="K187" s="421">
        <f>Tabela3[[#This Row],[TOTAL DE ALUNOS NO BÁSICO]]/Tabela3[[#This Row],[TOTAL DE ALUNOS]]*100</f>
        <v>11.30952380952381</v>
      </c>
      <c r="L187" s="421">
        <f>Tabela3[[#This Row],[Básico]]*2</f>
        <v>22.61904761904762</v>
      </c>
      <c r="M187" s="421">
        <f>Tabela3[[#This Row],[TOTAL DE ALUNOS ADEQUADO]]/Tabela3[[#This Row],[TOTAL DE ALUNOS]]*100</f>
        <v>24.404761904761905</v>
      </c>
      <c r="N187" s="421">
        <f>Tabela3[[#This Row],[Adequado]]*3</f>
        <v>73.214285714285722</v>
      </c>
      <c r="O187" s="421">
        <f>Tabela3[[#This Row],[TOTAL DE ALUNOS AVANÇADO]]/Tabela3[[#This Row],[TOTAL DE ALUNOS]]*100</f>
        <v>23.809523809523807</v>
      </c>
      <c r="P187" s="422">
        <f>Tabela3[[#This Row],[Avançado]]*4</f>
        <v>95.238095238095227</v>
      </c>
      <c r="Q187" s="422">
        <f t="shared" si="12"/>
        <v>231.54761904761904</v>
      </c>
      <c r="R187" s="423">
        <f>Tabela3[[#This Row],[Participação]]*100</f>
        <v>91.3</v>
      </c>
      <c r="S187" s="422">
        <f t="shared" si="13"/>
        <v>231.54761904761904</v>
      </c>
      <c r="T187" s="421">
        <f>Tabela3[[#This Row],[Meta 2024]]*0.65</f>
        <v>155.354355</v>
      </c>
      <c r="U187" s="421">
        <v>239.0067</v>
      </c>
      <c r="V187" s="422">
        <f t="shared" si="14"/>
        <v>0.91083237472445089</v>
      </c>
      <c r="W187" s="424">
        <f t="shared" si="15"/>
        <v>0.91083237472445089</v>
      </c>
    </row>
    <row r="188" spans="1:23">
      <c r="A188" s="426">
        <v>235</v>
      </c>
      <c r="B188" s="427" t="s">
        <v>177</v>
      </c>
      <c r="C188" s="426">
        <v>25</v>
      </c>
      <c r="D188" s="426">
        <v>10</v>
      </c>
      <c r="E188" s="426">
        <v>15</v>
      </c>
      <c r="F188" s="426">
        <v>14</v>
      </c>
      <c r="G188" s="426">
        <f t="shared" si="11"/>
        <v>64</v>
      </c>
      <c r="H188" s="428">
        <v>0.83120000000000005</v>
      </c>
      <c r="I188" s="429">
        <f>Tabela3[[#This Row],[TOTAL DE ALUNOS ABAIXO DO BÁSICO]]/Tabela3[[#This Row],[TOTAL DE ALUNOS]]*100</f>
        <v>39.0625</v>
      </c>
      <c r="J188" s="429">
        <f>Tabela3[[#This Row],[Abaixo do Básico]]*1</f>
        <v>39.0625</v>
      </c>
      <c r="K188" s="429">
        <f>Tabela3[[#This Row],[TOTAL DE ALUNOS NO BÁSICO]]/Tabela3[[#This Row],[TOTAL DE ALUNOS]]*100</f>
        <v>15.625</v>
      </c>
      <c r="L188" s="429">
        <f>Tabela3[[#This Row],[Básico]]*2</f>
        <v>31.25</v>
      </c>
      <c r="M188" s="429">
        <f>Tabela3[[#This Row],[TOTAL DE ALUNOS ADEQUADO]]/Tabela3[[#This Row],[TOTAL DE ALUNOS]]*100</f>
        <v>23.4375</v>
      </c>
      <c r="N188" s="429">
        <f>Tabela3[[#This Row],[Adequado]]*3</f>
        <v>70.3125</v>
      </c>
      <c r="O188" s="429">
        <f>Tabela3[[#This Row],[TOTAL DE ALUNOS AVANÇADO]]/Tabela3[[#This Row],[TOTAL DE ALUNOS]]*100</f>
        <v>21.875</v>
      </c>
      <c r="P188" s="430">
        <f>Tabela3[[#This Row],[Avançado]]*4</f>
        <v>87.5</v>
      </c>
      <c r="Q188" s="430">
        <f t="shared" si="12"/>
        <v>228.125</v>
      </c>
      <c r="R188" s="431">
        <f>Tabela3[[#This Row],[Participação]]*100</f>
        <v>83.12</v>
      </c>
      <c r="S188" s="422">
        <f t="shared" si="13"/>
        <v>228.125</v>
      </c>
      <c r="T188" s="421">
        <f>Tabela3[[#This Row],[Meta 2024]]*0.65</f>
        <v>137.32576</v>
      </c>
      <c r="U188" s="429">
        <v>211.2704</v>
      </c>
      <c r="V188" s="430">
        <f t="shared" si="14"/>
        <v>1.2279353851746388</v>
      </c>
      <c r="W188" s="432">
        <f t="shared" si="15"/>
        <v>1</v>
      </c>
    </row>
    <row r="189" spans="1:23">
      <c r="A189" s="233">
        <v>236</v>
      </c>
      <c r="B189" s="234" t="s">
        <v>44</v>
      </c>
      <c r="C189" s="233">
        <v>35</v>
      </c>
      <c r="D189" s="233">
        <v>13</v>
      </c>
      <c r="E189" s="233">
        <v>12</v>
      </c>
      <c r="F189" s="233">
        <v>19</v>
      </c>
      <c r="G189" s="233">
        <f t="shared" si="11"/>
        <v>79</v>
      </c>
      <c r="H189" s="238">
        <v>0.88759999999999994</v>
      </c>
      <c r="I189" s="433">
        <f>Tabela3[[#This Row],[TOTAL DE ALUNOS ABAIXO DO BÁSICO]]/Tabela3[[#This Row],[TOTAL DE ALUNOS]]*100</f>
        <v>44.303797468354425</v>
      </c>
      <c r="J189" s="433">
        <f>Tabela3[[#This Row],[Abaixo do Básico]]*1</f>
        <v>44.303797468354425</v>
      </c>
      <c r="K189" s="433">
        <f>Tabela3[[#This Row],[TOTAL DE ALUNOS NO BÁSICO]]/Tabela3[[#This Row],[TOTAL DE ALUNOS]]*100</f>
        <v>16.455696202531644</v>
      </c>
      <c r="L189" s="433">
        <f>Tabela3[[#This Row],[Básico]]*2</f>
        <v>32.911392405063289</v>
      </c>
      <c r="M189" s="433">
        <f>Tabela3[[#This Row],[TOTAL DE ALUNOS ADEQUADO]]/Tabela3[[#This Row],[TOTAL DE ALUNOS]]*100</f>
        <v>15.18987341772152</v>
      </c>
      <c r="N189" s="433">
        <f>Tabela3[[#This Row],[Adequado]]*3</f>
        <v>45.569620253164558</v>
      </c>
      <c r="O189" s="433">
        <f>Tabela3[[#This Row],[TOTAL DE ALUNOS AVANÇADO]]/Tabela3[[#This Row],[TOTAL DE ALUNOS]]*100</f>
        <v>24.050632911392405</v>
      </c>
      <c r="P189" s="434">
        <f>Tabela3[[#This Row],[Avançado]]*4</f>
        <v>96.202531645569621</v>
      </c>
      <c r="Q189" s="434">
        <f t="shared" si="12"/>
        <v>218.98734177215189</v>
      </c>
      <c r="R189" s="435">
        <f>Tabela3[[#This Row],[Participação]]*100</f>
        <v>88.759999999999991</v>
      </c>
      <c r="S189" s="422">
        <f t="shared" si="13"/>
        <v>218.98734177215189</v>
      </c>
      <c r="T189" s="421">
        <f>Tabela3[[#This Row],[Meta 2024]]*0.65</f>
        <v>73.047650000000004</v>
      </c>
      <c r="U189" s="433">
        <v>112.381</v>
      </c>
      <c r="V189" s="434">
        <f t="shared" si="14"/>
        <v>3.7103295745760763</v>
      </c>
      <c r="W189" s="436">
        <f t="shared" si="15"/>
        <v>1</v>
      </c>
    </row>
    <row r="190" spans="1:23">
      <c r="A190" s="437">
        <v>237</v>
      </c>
      <c r="B190" s="438" t="s">
        <v>109</v>
      </c>
      <c r="C190" s="437">
        <v>40</v>
      </c>
      <c r="D190" s="437">
        <v>10</v>
      </c>
      <c r="E190" s="437">
        <v>11</v>
      </c>
      <c r="F190" s="437">
        <v>5</v>
      </c>
      <c r="G190" s="437">
        <f t="shared" si="11"/>
        <v>66</v>
      </c>
      <c r="H190" s="439">
        <v>0.88</v>
      </c>
      <c r="I190" s="440">
        <f>Tabela3[[#This Row],[TOTAL DE ALUNOS ABAIXO DO BÁSICO]]/Tabela3[[#This Row],[TOTAL DE ALUNOS]]*100</f>
        <v>60.606060606060609</v>
      </c>
      <c r="J190" s="440">
        <f>Tabela3[[#This Row],[Abaixo do Básico]]*1</f>
        <v>60.606060606060609</v>
      </c>
      <c r="K190" s="440">
        <f>Tabela3[[#This Row],[TOTAL DE ALUNOS NO BÁSICO]]/Tabela3[[#This Row],[TOTAL DE ALUNOS]]*100</f>
        <v>15.151515151515152</v>
      </c>
      <c r="L190" s="440">
        <f>Tabela3[[#This Row],[Básico]]*2</f>
        <v>30.303030303030305</v>
      </c>
      <c r="M190" s="440">
        <f>Tabela3[[#This Row],[TOTAL DE ALUNOS ADEQUADO]]/Tabela3[[#This Row],[TOTAL DE ALUNOS]]*100</f>
        <v>16.666666666666664</v>
      </c>
      <c r="N190" s="440">
        <f>Tabela3[[#This Row],[Adequado]]*3</f>
        <v>49.999999999999993</v>
      </c>
      <c r="O190" s="440">
        <f>Tabela3[[#This Row],[TOTAL DE ALUNOS AVANÇADO]]/Tabela3[[#This Row],[TOTAL DE ALUNOS]]*100</f>
        <v>7.5757575757575761</v>
      </c>
      <c r="P190" s="441">
        <f>Tabela3[[#This Row],[Avançado]]*4</f>
        <v>30.303030303030305</v>
      </c>
      <c r="Q190" s="441">
        <f t="shared" si="12"/>
        <v>171.21212121212122</v>
      </c>
      <c r="R190" s="442">
        <f>Tabela3[[#This Row],[Participação]]*100</f>
        <v>88</v>
      </c>
      <c r="S190" s="422">
        <f t="shared" si="13"/>
        <v>171.21212121212122</v>
      </c>
      <c r="T190" s="421">
        <f>Tabela3[[#This Row],[Meta 2024]]*0.65</f>
        <v>97.887140000000002</v>
      </c>
      <c r="U190" s="440">
        <v>150.59559999999999</v>
      </c>
      <c r="V190" s="441">
        <f t="shared" si="14"/>
        <v>1.3911425454684359</v>
      </c>
      <c r="W190" s="443">
        <f t="shared" si="15"/>
        <v>1</v>
      </c>
    </row>
    <row r="191" spans="1:23">
      <c r="A191" s="418">
        <v>238</v>
      </c>
      <c r="B191" s="419" t="s">
        <v>6</v>
      </c>
      <c r="C191" s="418">
        <v>32</v>
      </c>
      <c r="D191" s="418">
        <v>19</v>
      </c>
      <c r="E191" s="418">
        <v>25</v>
      </c>
      <c r="F191" s="418">
        <v>37</v>
      </c>
      <c r="G191" s="418">
        <f t="shared" si="11"/>
        <v>113</v>
      </c>
      <c r="H191" s="420">
        <v>0.96579999999999999</v>
      </c>
      <c r="I191" s="421">
        <f>Tabela3[[#This Row],[TOTAL DE ALUNOS ABAIXO DO BÁSICO]]/Tabela3[[#This Row],[TOTAL DE ALUNOS]]*100</f>
        <v>28.318584070796462</v>
      </c>
      <c r="J191" s="421">
        <f>Tabela3[[#This Row],[Abaixo do Básico]]*1</f>
        <v>28.318584070796462</v>
      </c>
      <c r="K191" s="421">
        <f>Tabela3[[#This Row],[TOTAL DE ALUNOS NO BÁSICO]]/Tabela3[[#This Row],[TOTAL DE ALUNOS]]*100</f>
        <v>16.814159292035399</v>
      </c>
      <c r="L191" s="421">
        <f>Tabela3[[#This Row],[Básico]]*2</f>
        <v>33.628318584070797</v>
      </c>
      <c r="M191" s="421">
        <f>Tabela3[[#This Row],[TOTAL DE ALUNOS ADEQUADO]]/Tabela3[[#This Row],[TOTAL DE ALUNOS]]*100</f>
        <v>22.123893805309734</v>
      </c>
      <c r="N191" s="421">
        <f>Tabela3[[#This Row],[Adequado]]*3</f>
        <v>66.371681415929203</v>
      </c>
      <c r="O191" s="421">
        <f>Tabela3[[#This Row],[TOTAL DE ALUNOS AVANÇADO]]/Tabela3[[#This Row],[TOTAL DE ALUNOS]]*100</f>
        <v>32.743362831858406</v>
      </c>
      <c r="P191" s="422">
        <f>Tabela3[[#This Row],[Avançado]]*4</f>
        <v>130.97345132743362</v>
      </c>
      <c r="Q191" s="422">
        <f t="shared" si="12"/>
        <v>259.2920353982301</v>
      </c>
      <c r="R191" s="423">
        <f>Tabela3[[#This Row],[Participação]]*100</f>
        <v>96.58</v>
      </c>
      <c r="S191" s="422">
        <f t="shared" si="13"/>
        <v>259.2920353982301</v>
      </c>
      <c r="T191" s="421">
        <f>Tabela3[[#This Row],[Meta 2024]]*0.65</f>
        <v>163.12477999999999</v>
      </c>
      <c r="U191" s="421">
        <v>250.96119999999999</v>
      </c>
      <c r="V191" s="422">
        <f t="shared" si="14"/>
        <v>1.0948448877837929</v>
      </c>
      <c r="W191" s="424">
        <f t="shared" si="15"/>
        <v>1</v>
      </c>
    </row>
    <row r="192" spans="1:23">
      <c r="A192" s="418">
        <v>239</v>
      </c>
      <c r="B192" s="419" t="s">
        <v>14</v>
      </c>
      <c r="C192" s="418">
        <v>19</v>
      </c>
      <c r="D192" s="418">
        <v>8</v>
      </c>
      <c r="E192" s="418">
        <v>11</v>
      </c>
      <c r="F192" s="418">
        <v>24</v>
      </c>
      <c r="G192" s="418">
        <f t="shared" si="11"/>
        <v>62</v>
      </c>
      <c r="H192" s="420">
        <v>1</v>
      </c>
      <c r="I192" s="421">
        <f>Tabela3[[#This Row],[TOTAL DE ALUNOS ABAIXO DO BÁSICO]]/Tabela3[[#This Row],[TOTAL DE ALUNOS]]*100</f>
        <v>30.64516129032258</v>
      </c>
      <c r="J192" s="421">
        <f>Tabela3[[#This Row],[Abaixo do Básico]]*1</f>
        <v>30.64516129032258</v>
      </c>
      <c r="K192" s="421">
        <f>Tabela3[[#This Row],[TOTAL DE ALUNOS NO BÁSICO]]/Tabela3[[#This Row],[TOTAL DE ALUNOS]]*100</f>
        <v>12.903225806451612</v>
      </c>
      <c r="L192" s="421">
        <f>Tabela3[[#This Row],[Básico]]*2</f>
        <v>25.806451612903224</v>
      </c>
      <c r="M192" s="421">
        <f>Tabela3[[#This Row],[TOTAL DE ALUNOS ADEQUADO]]/Tabela3[[#This Row],[TOTAL DE ALUNOS]]*100</f>
        <v>17.741935483870968</v>
      </c>
      <c r="N192" s="421">
        <f>Tabela3[[#This Row],[Adequado]]*3</f>
        <v>53.225806451612904</v>
      </c>
      <c r="O192" s="421">
        <f>Tabela3[[#This Row],[TOTAL DE ALUNOS AVANÇADO]]/Tabela3[[#This Row],[TOTAL DE ALUNOS]]*100</f>
        <v>38.70967741935484</v>
      </c>
      <c r="P192" s="422">
        <f>Tabela3[[#This Row],[Avançado]]*4</f>
        <v>154.83870967741936</v>
      </c>
      <c r="Q192" s="422">
        <f t="shared" si="12"/>
        <v>264.51612903225805</v>
      </c>
      <c r="R192" s="423">
        <f>Tabela3[[#This Row],[Participação]]*100</f>
        <v>100</v>
      </c>
      <c r="S192" s="422">
        <f t="shared" si="13"/>
        <v>264.51612903225805</v>
      </c>
      <c r="T192" s="421">
        <f>Tabela3[[#This Row],[Meta 2024]]*0.65</f>
        <v>167.73730999999998</v>
      </c>
      <c r="U192" s="421">
        <v>258.05739999999997</v>
      </c>
      <c r="V192" s="422">
        <f t="shared" si="14"/>
        <v>1.0715093290126048</v>
      </c>
      <c r="W192" s="424">
        <f t="shared" si="15"/>
        <v>1</v>
      </c>
    </row>
    <row r="193" spans="1:23">
      <c r="A193" s="418">
        <v>240</v>
      </c>
      <c r="B193" s="419" t="s">
        <v>164</v>
      </c>
      <c r="C193" s="418">
        <v>81</v>
      </c>
      <c r="D193" s="418">
        <v>28</v>
      </c>
      <c r="E193" s="418">
        <v>35</v>
      </c>
      <c r="F193" s="418">
        <v>15</v>
      </c>
      <c r="G193" s="418">
        <f t="shared" si="11"/>
        <v>159</v>
      </c>
      <c r="H193" s="420">
        <v>0.76439999999999997</v>
      </c>
      <c r="I193" s="421">
        <f>Tabela3[[#This Row],[TOTAL DE ALUNOS ABAIXO DO BÁSICO]]/Tabela3[[#This Row],[TOTAL DE ALUNOS]]*100</f>
        <v>50.943396226415096</v>
      </c>
      <c r="J193" s="421">
        <f>Tabela3[[#This Row],[Abaixo do Básico]]*1</f>
        <v>50.943396226415096</v>
      </c>
      <c r="K193" s="421">
        <f>Tabela3[[#This Row],[TOTAL DE ALUNOS NO BÁSICO]]/Tabela3[[#This Row],[TOTAL DE ALUNOS]]*100</f>
        <v>17.610062893081761</v>
      </c>
      <c r="L193" s="421">
        <f>Tabela3[[#This Row],[Básico]]*2</f>
        <v>35.220125786163521</v>
      </c>
      <c r="M193" s="421">
        <f>Tabela3[[#This Row],[TOTAL DE ALUNOS ADEQUADO]]/Tabela3[[#This Row],[TOTAL DE ALUNOS]]*100</f>
        <v>22.012578616352201</v>
      </c>
      <c r="N193" s="421">
        <f>Tabela3[[#This Row],[Adequado]]*3</f>
        <v>66.037735849056602</v>
      </c>
      <c r="O193" s="421">
        <f>Tabela3[[#This Row],[TOTAL DE ALUNOS AVANÇADO]]/Tabela3[[#This Row],[TOTAL DE ALUNOS]]*100</f>
        <v>9.433962264150944</v>
      </c>
      <c r="P193" s="422">
        <f>Tabela3[[#This Row],[Avançado]]*4</f>
        <v>37.735849056603776</v>
      </c>
      <c r="Q193" s="422">
        <f t="shared" si="12"/>
        <v>189.93710691823898</v>
      </c>
      <c r="R193" s="423">
        <f>Tabela3[[#This Row],[Participação]]*100</f>
        <v>76.44</v>
      </c>
      <c r="S193" s="422">
        <f t="shared" si="13"/>
        <v>189.93710691823898</v>
      </c>
      <c r="T193" s="421">
        <f>Tabela3[[#This Row],[Meta 2024]]*0.65</f>
        <v>115.50240000000001</v>
      </c>
      <c r="U193" s="421">
        <v>177.696</v>
      </c>
      <c r="V193" s="422">
        <f t="shared" si="14"/>
        <v>1.1968226138740801</v>
      </c>
      <c r="W193" s="424">
        <f t="shared" si="15"/>
        <v>1</v>
      </c>
    </row>
    <row r="194" spans="1:23">
      <c r="A194" s="418">
        <v>241</v>
      </c>
      <c r="B194" s="419" t="s">
        <v>68</v>
      </c>
      <c r="C194" s="418">
        <v>27</v>
      </c>
      <c r="D194" s="418">
        <v>13</v>
      </c>
      <c r="E194" s="418">
        <v>12</v>
      </c>
      <c r="F194" s="418">
        <v>10</v>
      </c>
      <c r="G194" s="418">
        <f t="shared" si="11"/>
        <v>62</v>
      </c>
      <c r="H194" s="420">
        <v>0.88570000000000004</v>
      </c>
      <c r="I194" s="421">
        <f>Tabela3[[#This Row],[TOTAL DE ALUNOS ABAIXO DO BÁSICO]]/Tabela3[[#This Row],[TOTAL DE ALUNOS]]*100</f>
        <v>43.548387096774192</v>
      </c>
      <c r="J194" s="421">
        <f>Tabela3[[#This Row],[Abaixo do Básico]]*1</f>
        <v>43.548387096774192</v>
      </c>
      <c r="K194" s="421">
        <f>Tabela3[[#This Row],[TOTAL DE ALUNOS NO BÁSICO]]/Tabela3[[#This Row],[TOTAL DE ALUNOS]]*100</f>
        <v>20.967741935483872</v>
      </c>
      <c r="L194" s="421">
        <f>Tabela3[[#This Row],[Básico]]*2</f>
        <v>41.935483870967744</v>
      </c>
      <c r="M194" s="421">
        <f>Tabela3[[#This Row],[TOTAL DE ALUNOS ADEQUADO]]/Tabela3[[#This Row],[TOTAL DE ALUNOS]]*100</f>
        <v>19.35483870967742</v>
      </c>
      <c r="N194" s="421">
        <f>Tabela3[[#This Row],[Adequado]]*3</f>
        <v>58.064516129032256</v>
      </c>
      <c r="O194" s="421">
        <f>Tabela3[[#This Row],[TOTAL DE ALUNOS AVANÇADO]]/Tabela3[[#This Row],[TOTAL DE ALUNOS]]*100</f>
        <v>16.129032258064516</v>
      </c>
      <c r="P194" s="422">
        <f>Tabela3[[#This Row],[Avançado]]*4</f>
        <v>64.516129032258064</v>
      </c>
      <c r="Q194" s="422">
        <f t="shared" si="12"/>
        <v>208.06451612903226</v>
      </c>
      <c r="R194" s="423">
        <f>Tabela3[[#This Row],[Participação]]*100</f>
        <v>88.570000000000007</v>
      </c>
      <c r="S194" s="422">
        <f t="shared" si="13"/>
        <v>208.06451612903226</v>
      </c>
      <c r="T194" s="421">
        <f>Tabela3[[#This Row],[Meta 2024]]*0.65</f>
        <v>157.85497000000001</v>
      </c>
      <c r="U194" s="421">
        <v>242.85380000000001</v>
      </c>
      <c r="V194" s="422">
        <f t="shared" si="14"/>
        <v>0.59070867362565171</v>
      </c>
      <c r="W194" s="424">
        <f t="shared" si="15"/>
        <v>0.59070867362565171</v>
      </c>
    </row>
    <row r="195" spans="1:23">
      <c r="A195" s="418">
        <v>242</v>
      </c>
      <c r="B195" s="419" t="s">
        <v>142</v>
      </c>
      <c r="C195" s="418">
        <v>57</v>
      </c>
      <c r="D195" s="418">
        <v>22</v>
      </c>
      <c r="E195" s="418">
        <v>41</v>
      </c>
      <c r="F195" s="418">
        <v>55</v>
      </c>
      <c r="G195" s="418">
        <f t="shared" si="11"/>
        <v>175</v>
      </c>
      <c r="H195" s="420">
        <v>0.91620000000000001</v>
      </c>
      <c r="I195" s="421">
        <f>Tabela3[[#This Row],[TOTAL DE ALUNOS ABAIXO DO BÁSICO]]/Tabela3[[#This Row],[TOTAL DE ALUNOS]]*100</f>
        <v>32.571428571428577</v>
      </c>
      <c r="J195" s="421">
        <f>Tabela3[[#This Row],[Abaixo do Básico]]*1</f>
        <v>32.571428571428577</v>
      </c>
      <c r="K195" s="421">
        <f>Tabela3[[#This Row],[TOTAL DE ALUNOS NO BÁSICO]]/Tabela3[[#This Row],[TOTAL DE ALUNOS]]*100</f>
        <v>12.571428571428573</v>
      </c>
      <c r="L195" s="421">
        <f>Tabela3[[#This Row],[Básico]]*2</f>
        <v>25.142857142857146</v>
      </c>
      <c r="M195" s="421">
        <f>Tabela3[[#This Row],[TOTAL DE ALUNOS ADEQUADO]]/Tabela3[[#This Row],[TOTAL DE ALUNOS]]*100</f>
        <v>23.428571428571431</v>
      </c>
      <c r="N195" s="421">
        <f>Tabela3[[#This Row],[Adequado]]*3</f>
        <v>70.285714285714292</v>
      </c>
      <c r="O195" s="421">
        <f>Tabela3[[#This Row],[TOTAL DE ALUNOS AVANÇADO]]/Tabela3[[#This Row],[TOTAL DE ALUNOS]]*100</f>
        <v>31.428571428571427</v>
      </c>
      <c r="P195" s="422">
        <f>Tabela3[[#This Row],[Avançado]]*4</f>
        <v>125.71428571428571</v>
      </c>
      <c r="Q195" s="422">
        <f t="shared" si="12"/>
        <v>253.71428571428572</v>
      </c>
      <c r="R195" s="423">
        <f>Tabela3[[#This Row],[Participação]]*100</f>
        <v>91.62</v>
      </c>
      <c r="S195" s="422">
        <f t="shared" si="13"/>
        <v>253.71428571428572</v>
      </c>
      <c r="T195" s="421">
        <f>Tabela3[[#This Row],[Meta 2024]]*0.65</f>
        <v>150.25536500000001</v>
      </c>
      <c r="U195" s="421">
        <v>231.16210000000001</v>
      </c>
      <c r="V195" s="422">
        <f t="shared" si="14"/>
        <v>1.2787429960470622</v>
      </c>
      <c r="W195" s="424">
        <f t="shared" si="15"/>
        <v>1</v>
      </c>
    </row>
    <row r="196" spans="1:23">
      <c r="A196" s="418">
        <v>243</v>
      </c>
      <c r="B196" s="419" t="s">
        <v>59</v>
      </c>
      <c r="C196" s="418">
        <v>32</v>
      </c>
      <c r="D196" s="418">
        <v>12</v>
      </c>
      <c r="E196" s="418">
        <v>15</v>
      </c>
      <c r="F196" s="418">
        <v>16</v>
      </c>
      <c r="G196" s="418">
        <f t="shared" si="11"/>
        <v>75</v>
      </c>
      <c r="H196" s="420">
        <v>0.98680000000000001</v>
      </c>
      <c r="I196" s="421">
        <f>Tabela3[[#This Row],[TOTAL DE ALUNOS ABAIXO DO BÁSICO]]/Tabela3[[#This Row],[TOTAL DE ALUNOS]]*100</f>
        <v>42.666666666666671</v>
      </c>
      <c r="J196" s="421">
        <f>Tabela3[[#This Row],[Abaixo do Básico]]*1</f>
        <v>42.666666666666671</v>
      </c>
      <c r="K196" s="421">
        <f>Tabela3[[#This Row],[TOTAL DE ALUNOS NO BÁSICO]]/Tabela3[[#This Row],[TOTAL DE ALUNOS]]*100</f>
        <v>16</v>
      </c>
      <c r="L196" s="421">
        <f>Tabela3[[#This Row],[Básico]]*2</f>
        <v>32</v>
      </c>
      <c r="M196" s="421">
        <f>Tabela3[[#This Row],[TOTAL DE ALUNOS ADEQUADO]]/Tabela3[[#This Row],[TOTAL DE ALUNOS]]*100</f>
        <v>20</v>
      </c>
      <c r="N196" s="421">
        <f>Tabela3[[#This Row],[Adequado]]*3</f>
        <v>60</v>
      </c>
      <c r="O196" s="421">
        <f>Tabela3[[#This Row],[TOTAL DE ALUNOS AVANÇADO]]/Tabela3[[#This Row],[TOTAL DE ALUNOS]]*100</f>
        <v>21.333333333333336</v>
      </c>
      <c r="P196" s="422">
        <f>Tabela3[[#This Row],[Avançado]]*4</f>
        <v>85.333333333333343</v>
      </c>
      <c r="Q196" s="422">
        <f t="shared" si="12"/>
        <v>220.00000000000003</v>
      </c>
      <c r="R196" s="423">
        <f>Tabela3[[#This Row],[Participação]]*100</f>
        <v>98.68</v>
      </c>
      <c r="S196" s="422">
        <f t="shared" si="13"/>
        <v>220.00000000000003</v>
      </c>
      <c r="T196" s="421">
        <f>Tabela3[[#This Row],[Meta 2024]]*0.65</f>
        <v>149.49064000000001</v>
      </c>
      <c r="U196" s="421">
        <v>229.98560000000001</v>
      </c>
      <c r="V196" s="422">
        <f t="shared" si="14"/>
        <v>0.87594751273868598</v>
      </c>
      <c r="W196" s="424">
        <f t="shared" si="15"/>
        <v>0.87594751273868598</v>
      </c>
    </row>
    <row r="197" spans="1:23">
      <c r="A197" s="418">
        <v>244</v>
      </c>
      <c r="B197" s="419" t="s">
        <v>194</v>
      </c>
      <c r="C197" s="418">
        <v>29</v>
      </c>
      <c r="D197" s="418">
        <v>18</v>
      </c>
      <c r="E197" s="418">
        <v>24</v>
      </c>
      <c r="F197" s="418">
        <v>33</v>
      </c>
      <c r="G197" s="418">
        <f t="shared" ref="G197:G213" si="16">SUM(C197:F197)</f>
        <v>104</v>
      </c>
      <c r="H197" s="420">
        <v>0.88139999999999996</v>
      </c>
      <c r="I197" s="421">
        <f>Tabela3[[#This Row],[TOTAL DE ALUNOS ABAIXO DO BÁSICO]]/Tabela3[[#This Row],[TOTAL DE ALUNOS]]*100</f>
        <v>27.884615384615387</v>
      </c>
      <c r="J197" s="421">
        <f>Tabela3[[#This Row],[Abaixo do Básico]]*1</f>
        <v>27.884615384615387</v>
      </c>
      <c r="K197" s="421">
        <f>Tabela3[[#This Row],[TOTAL DE ALUNOS NO BÁSICO]]/Tabela3[[#This Row],[TOTAL DE ALUNOS]]*100</f>
        <v>17.307692307692307</v>
      </c>
      <c r="L197" s="421">
        <f>Tabela3[[#This Row],[Básico]]*2</f>
        <v>34.615384615384613</v>
      </c>
      <c r="M197" s="421">
        <f>Tabela3[[#This Row],[TOTAL DE ALUNOS ADEQUADO]]/Tabela3[[#This Row],[TOTAL DE ALUNOS]]*100</f>
        <v>23.076923076923077</v>
      </c>
      <c r="N197" s="421">
        <f>Tabela3[[#This Row],[Adequado]]*3</f>
        <v>69.230769230769226</v>
      </c>
      <c r="O197" s="421">
        <f>Tabela3[[#This Row],[TOTAL DE ALUNOS AVANÇADO]]/Tabela3[[#This Row],[TOTAL DE ALUNOS]]*100</f>
        <v>31.73076923076923</v>
      </c>
      <c r="P197" s="422">
        <f>Tabela3[[#This Row],[Avançado]]*4</f>
        <v>126.92307692307692</v>
      </c>
      <c r="Q197" s="422">
        <f t="shared" ref="Q197:Q213" si="17">SUM(J197,L197,N197,P197)</f>
        <v>258.65384615384613</v>
      </c>
      <c r="R197" s="423">
        <f>Tabela3[[#This Row],[Participação]]*100</f>
        <v>88.14</v>
      </c>
      <c r="S197" s="422">
        <f t="shared" ref="S197:S213" si="18">IF(R197&gt;=$B$1,Q197,(R197*Q197)/100)</f>
        <v>258.65384615384613</v>
      </c>
      <c r="T197" s="421">
        <f>Tabela3[[#This Row],[Meta 2024]]*0.65</f>
        <v>154.36154500000001</v>
      </c>
      <c r="U197" s="421">
        <v>237.47929999999999</v>
      </c>
      <c r="V197" s="422">
        <f t="shared" ref="V197:V213" si="19">1-((U197-S197)/(U197-T197))</f>
        <v>1.2547535860881487</v>
      </c>
      <c r="W197" s="424">
        <f t="shared" ref="W197:W213" si="20">IF(V197&lt;0,0,IF(V197&lt;=1,V197,1))</f>
        <v>1</v>
      </c>
    </row>
    <row r="198" spans="1:23">
      <c r="A198" s="418">
        <v>245</v>
      </c>
      <c r="B198" s="419" t="s">
        <v>48</v>
      </c>
      <c r="C198" s="418">
        <v>37</v>
      </c>
      <c r="D198" s="418">
        <v>24</v>
      </c>
      <c r="E198" s="418">
        <v>38</v>
      </c>
      <c r="F198" s="418">
        <v>42</v>
      </c>
      <c r="G198" s="418">
        <f t="shared" si="16"/>
        <v>141</v>
      </c>
      <c r="H198" s="420">
        <v>0.92759999999999998</v>
      </c>
      <c r="I198" s="421">
        <f>Tabela3[[#This Row],[TOTAL DE ALUNOS ABAIXO DO BÁSICO]]/Tabela3[[#This Row],[TOTAL DE ALUNOS]]*100</f>
        <v>26.24113475177305</v>
      </c>
      <c r="J198" s="421">
        <f>Tabela3[[#This Row],[Abaixo do Básico]]*1</f>
        <v>26.24113475177305</v>
      </c>
      <c r="K198" s="421">
        <f>Tabela3[[#This Row],[TOTAL DE ALUNOS NO BÁSICO]]/Tabela3[[#This Row],[TOTAL DE ALUNOS]]*100</f>
        <v>17.021276595744681</v>
      </c>
      <c r="L198" s="421">
        <f>Tabela3[[#This Row],[Básico]]*2</f>
        <v>34.042553191489361</v>
      </c>
      <c r="M198" s="421">
        <f>Tabela3[[#This Row],[TOTAL DE ALUNOS ADEQUADO]]/Tabela3[[#This Row],[TOTAL DE ALUNOS]]*100</f>
        <v>26.950354609929079</v>
      </c>
      <c r="N198" s="421">
        <f>Tabela3[[#This Row],[Adequado]]*3</f>
        <v>80.851063829787236</v>
      </c>
      <c r="O198" s="421">
        <f>Tabela3[[#This Row],[TOTAL DE ALUNOS AVANÇADO]]/Tabela3[[#This Row],[TOTAL DE ALUNOS]]*100</f>
        <v>29.787234042553191</v>
      </c>
      <c r="P198" s="422">
        <f>Tabela3[[#This Row],[Avançado]]*4</f>
        <v>119.14893617021276</v>
      </c>
      <c r="Q198" s="422">
        <f t="shared" si="17"/>
        <v>260.28368794326241</v>
      </c>
      <c r="R198" s="423">
        <f>Tabela3[[#This Row],[Participação]]*100</f>
        <v>92.759999999999991</v>
      </c>
      <c r="S198" s="422">
        <f t="shared" si="18"/>
        <v>260.28368794326241</v>
      </c>
      <c r="T198" s="421">
        <f>Tabela3[[#This Row],[Meta 2024]]*0.65</f>
        <v>156.24420499999999</v>
      </c>
      <c r="U198" s="421">
        <v>240.37569999999999</v>
      </c>
      <c r="V198" s="422">
        <f t="shared" si="19"/>
        <v>1.2366294328094658</v>
      </c>
      <c r="W198" s="424">
        <f t="shared" si="20"/>
        <v>1</v>
      </c>
    </row>
    <row r="199" spans="1:23">
      <c r="A199" s="418">
        <v>246</v>
      </c>
      <c r="B199" s="419" t="s">
        <v>150</v>
      </c>
      <c r="C199" s="418">
        <v>35</v>
      </c>
      <c r="D199" s="418">
        <v>16</v>
      </c>
      <c r="E199" s="418">
        <v>17</v>
      </c>
      <c r="F199" s="418">
        <v>19</v>
      </c>
      <c r="G199" s="418">
        <f t="shared" si="16"/>
        <v>87</v>
      </c>
      <c r="H199" s="420">
        <v>0.85289999999999999</v>
      </c>
      <c r="I199" s="421">
        <f>Tabela3[[#This Row],[TOTAL DE ALUNOS ABAIXO DO BÁSICO]]/Tabela3[[#This Row],[TOTAL DE ALUNOS]]*100</f>
        <v>40.229885057471265</v>
      </c>
      <c r="J199" s="421">
        <f>Tabela3[[#This Row],[Abaixo do Básico]]*1</f>
        <v>40.229885057471265</v>
      </c>
      <c r="K199" s="421">
        <f>Tabela3[[#This Row],[TOTAL DE ALUNOS NO BÁSICO]]/Tabela3[[#This Row],[TOTAL DE ALUNOS]]*100</f>
        <v>18.390804597701148</v>
      </c>
      <c r="L199" s="421">
        <f>Tabela3[[#This Row],[Básico]]*2</f>
        <v>36.781609195402297</v>
      </c>
      <c r="M199" s="421">
        <f>Tabela3[[#This Row],[TOTAL DE ALUNOS ADEQUADO]]/Tabela3[[#This Row],[TOTAL DE ALUNOS]]*100</f>
        <v>19.540229885057471</v>
      </c>
      <c r="N199" s="421">
        <f>Tabela3[[#This Row],[Adequado]]*3</f>
        <v>58.620689655172413</v>
      </c>
      <c r="O199" s="421">
        <f>Tabela3[[#This Row],[TOTAL DE ALUNOS AVANÇADO]]/Tabela3[[#This Row],[TOTAL DE ALUNOS]]*100</f>
        <v>21.839080459770116</v>
      </c>
      <c r="P199" s="422">
        <f>Tabela3[[#This Row],[Avançado]]*4</f>
        <v>87.356321839080465</v>
      </c>
      <c r="Q199" s="422">
        <f t="shared" si="17"/>
        <v>222.98850574712645</v>
      </c>
      <c r="R199" s="423">
        <f>Tabela3[[#This Row],[Participação]]*100</f>
        <v>85.289999999999992</v>
      </c>
      <c r="S199" s="422">
        <f t="shared" si="18"/>
        <v>222.98850574712645</v>
      </c>
      <c r="T199" s="421">
        <f>Tabela3[[#This Row],[Meta 2024]]*0.65</f>
        <v>127.63634</v>
      </c>
      <c r="U199" s="421">
        <v>196.36359999999999</v>
      </c>
      <c r="V199" s="422">
        <f t="shared" si="19"/>
        <v>1.3873994939871961</v>
      </c>
      <c r="W199" s="424">
        <f t="shared" si="20"/>
        <v>1</v>
      </c>
    </row>
    <row r="200" spans="1:23">
      <c r="A200" s="418">
        <v>247</v>
      </c>
      <c r="B200" s="419" t="s">
        <v>98</v>
      </c>
      <c r="C200" s="418">
        <v>28</v>
      </c>
      <c r="D200" s="418">
        <v>11</v>
      </c>
      <c r="E200" s="418">
        <v>26</v>
      </c>
      <c r="F200" s="418">
        <v>39</v>
      </c>
      <c r="G200" s="418">
        <f t="shared" si="16"/>
        <v>104</v>
      </c>
      <c r="H200" s="420">
        <v>0.9123</v>
      </c>
      <c r="I200" s="421">
        <f>Tabela3[[#This Row],[TOTAL DE ALUNOS ABAIXO DO BÁSICO]]/Tabela3[[#This Row],[TOTAL DE ALUNOS]]*100</f>
        <v>26.923076923076923</v>
      </c>
      <c r="J200" s="421">
        <f>Tabela3[[#This Row],[Abaixo do Básico]]*1</f>
        <v>26.923076923076923</v>
      </c>
      <c r="K200" s="421">
        <f>Tabela3[[#This Row],[TOTAL DE ALUNOS NO BÁSICO]]/Tabela3[[#This Row],[TOTAL DE ALUNOS]]*100</f>
        <v>10.576923076923077</v>
      </c>
      <c r="L200" s="421">
        <f>Tabela3[[#This Row],[Básico]]*2</f>
        <v>21.153846153846153</v>
      </c>
      <c r="M200" s="421">
        <f>Tabela3[[#This Row],[TOTAL DE ALUNOS ADEQUADO]]/Tabela3[[#This Row],[TOTAL DE ALUNOS]]*100</f>
        <v>25</v>
      </c>
      <c r="N200" s="421">
        <f>Tabela3[[#This Row],[Adequado]]*3</f>
        <v>75</v>
      </c>
      <c r="O200" s="421">
        <f>Tabela3[[#This Row],[TOTAL DE ALUNOS AVANÇADO]]/Tabela3[[#This Row],[TOTAL DE ALUNOS]]*100</f>
        <v>37.5</v>
      </c>
      <c r="P200" s="422">
        <f>Tabela3[[#This Row],[Avançado]]*4</f>
        <v>150</v>
      </c>
      <c r="Q200" s="422">
        <f t="shared" si="17"/>
        <v>273.07692307692309</v>
      </c>
      <c r="R200" s="423">
        <f>Tabela3[[#This Row],[Participação]]*100</f>
        <v>91.23</v>
      </c>
      <c r="S200" s="422">
        <f t="shared" si="18"/>
        <v>273.07692307692309</v>
      </c>
      <c r="T200" s="421">
        <f>Tabela3[[#This Row],[Meta 2024]]*0.65</f>
        <v>158.59675000000001</v>
      </c>
      <c r="U200" s="421">
        <v>243.995</v>
      </c>
      <c r="V200" s="422">
        <f t="shared" si="19"/>
        <v>1.3405447193229731</v>
      </c>
      <c r="W200" s="424">
        <f t="shared" si="20"/>
        <v>1</v>
      </c>
    </row>
    <row r="201" spans="1:23">
      <c r="A201" s="418">
        <v>248</v>
      </c>
      <c r="B201" s="419" t="s">
        <v>203</v>
      </c>
      <c r="C201" s="418">
        <v>17</v>
      </c>
      <c r="D201" s="418">
        <v>8</v>
      </c>
      <c r="E201" s="418">
        <v>16</v>
      </c>
      <c r="F201" s="418">
        <v>13</v>
      </c>
      <c r="G201" s="418">
        <f t="shared" si="16"/>
        <v>54</v>
      </c>
      <c r="H201" s="420">
        <v>0.79410000000000003</v>
      </c>
      <c r="I201" s="421">
        <f>Tabela3[[#This Row],[TOTAL DE ALUNOS ABAIXO DO BÁSICO]]/Tabela3[[#This Row],[TOTAL DE ALUNOS]]*100</f>
        <v>31.481481481481481</v>
      </c>
      <c r="J201" s="421">
        <f>Tabela3[[#This Row],[Abaixo do Básico]]*1</f>
        <v>31.481481481481481</v>
      </c>
      <c r="K201" s="421">
        <f>Tabela3[[#This Row],[TOTAL DE ALUNOS NO BÁSICO]]/Tabela3[[#This Row],[TOTAL DE ALUNOS]]*100</f>
        <v>14.814814814814813</v>
      </c>
      <c r="L201" s="421">
        <f>Tabela3[[#This Row],[Básico]]*2</f>
        <v>29.629629629629626</v>
      </c>
      <c r="M201" s="421">
        <f>Tabela3[[#This Row],[TOTAL DE ALUNOS ADEQUADO]]/Tabela3[[#This Row],[TOTAL DE ALUNOS]]*100</f>
        <v>29.629629629629626</v>
      </c>
      <c r="N201" s="421">
        <f>Tabela3[[#This Row],[Adequado]]*3</f>
        <v>88.888888888888886</v>
      </c>
      <c r="O201" s="421">
        <f>Tabela3[[#This Row],[TOTAL DE ALUNOS AVANÇADO]]/Tabela3[[#This Row],[TOTAL DE ALUNOS]]*100</f>
        <v>24.074074074074073</v>
      </c>
      <c r="P201" s="422">
        <f>Tabela3[[#This Row],[Avançado]]*4</f>
        <v>96.296296296296291</v>
      </c>
      <c r="Q201" s="422">
        <f t="shared" si="17"/>
        <v>246.2962962962963</v>
      </c>
      <c r="R201" s="423">
        <f>Tabela3[[#This Row],[Participação]]*100</f>
        <v>79.41</v>
      </c>
      <c r="S201" s="422">
        <f t="shared" si="18"/>
        <v>246.2962962962963</v>
      </c>
      <c r="T201" s="421">
        <f>Tabela3[[#This Row],[Meta 2024]]*0.65</f>
        <v>167.900655</v>
      </c>
      <c r="U201" s="421">
        <v>258.30869999999999</v>
      </c>
      <c r="V201" s="422">
        <f t="shared" si="19"/>
        <v>0.86713125249303102</v>
      </c>
      <c r="W201" s="424">
        <f t="shared" si="20"/>
        <v>0.86713125249303102</v>
      </c>
    </row>
    <row r="202" spans="1:23">
      <c r="A202" s="418">
        <v>249</v>
      </c>
      <c r="B202" s="419" t="s">
        <v>26</v>
      </c>
      <c r="C202" s="418">
        <v>58</v>
      </c>
      <c r="D202" s="418">
        <v>16</v>
      </c>
      <c r="E202" s="418">
        <v>34</v>
      </c>
      <c r="F202" s="418">
        <v>32</v>
      </c>
      <c r="G202" s="418">
        <f t="shared" si="16"/>
        <v>140</v>
      </c>
      <c r="H202" s="420">
        <v>0.9032</v>
      </c>
      <c r="I202" s="421">
        <f>Tabela3[[#This Row],[TOTAL DE ALUNOS ABAIXO DO BÁSICO]]/Tabela3[[#This Row],[TOTAL DE ALUNOS]]*100</f>
        <v>41.428571428571431</v>
      </c>
      <c r="J202" s="421">
        <f>Tabela3[[#This Row],[Abaixo do Básico]]*1</f>
        <v>41.428571428571431</v>
      </c>
      <c r="K202" s="421">
        <f>Tabela3[[#This Row],[TOTAL DE ALUNOS NO BÁSICO]]/Tabela3[[#This Row],[TOTAL DE ALUNOS]]*100</f>
        <v>11.428571428571429</v>
      </c>
      <c r="L202" s="421">
        <f>Tabela3[[#This Row],[Básico]]*2</f>
        <v>22.857142857142858</v>
      </c>
      <c r="M202" s="421">
        <f>Tabela3[[#This Row],[TOTAL DE ALUNOS ADEQUADO]]/Tabela3[[#This Row],[TOTAL DE ALUNOS]]*100</f>
        <v>24.285714285714285</v>
      </c>
      <c r="N202" s="421">
        <f>Tabela3[[#This Row],[Adequado]]*3</f>
        <v>72.857142857142861</v>
      </c>
      <c r="O202" s="421">
        <f>Tabela3[[#This Row],[TOTAL DE ALUNOS AVANÇADO]]/Tabela3[[#This Row],[TOTAL DE ALUNOS]]*100</f>
        <v>22.857142857142858</v>
      </c>
      <c r="P202" s="422">
        <f>Tabela3[[#This Row],[Avançado]]*4</f>
        <v>91.428571428571431</v>
      </c>
      <c r="Q202" s="422">
        <f t="shared" si="17"/>
        <v>228.57142857142861</v>
      </c>
      <c r="R202" s="423">
        <f>Tabela3[[#This Row],[Participação]]*100</f>
        <v>90.32</v>
      </c>
      <c r="S202" s="422">
        <f t="shared" si="18"/>
        <v>228.57142857142861</v>
      </c>
      <c r="T202" s="421">
        <f>Tabela3[[#This Row],[Meta 2024]]*0.65</f>
        <v>132.13109</v>
      </c>
      <c r="U202" s="421">
        <v>203.27860000000001</v>
      </c>
      <c r="V202" s="422">
        <f t="shared" si="19"/>
        <v>1.3554984365781544</v>
      </c>
      <c r="W202" s="424">
        <f t="shared" si="20"/>
        <v>1</v>
      </c>
    </row>
    <row r="203" spans="1:23">
      <c r="A203" s="418">
        <v>252</v>
      </c>
      <c r="B203" s="419" t="s">
        <v>184</v>
      </c>
      <c r="C203" s="418">
        <v>23</v>
      </c>
      <c r="D203" s="418">
        <v>10</v>
      </c>
      <c r="E203" s="418">
        <v>23</v>
      </c>
      <c r="F203" s="418">
        <v>35</v>
      </c>
      <c r="G203" s="418">
        <f t="shared" si="16"/>
        <v>91</v>
      </c>
      <c r="H203" s="420">
        <v>0.96809999999999996</v>
      </c>
      <c r="I203" s="421">
        <f>Tabela3[[#This Row],[TOTAL DE ALUNOS ABAIXO DO BÁSICO]]/Tabela3[[#This Row],[TOTAL DE ALUNOS]]*100</f>
        <v>25.274725274725274</v>
      </c>
      <c r="J203" s="421">
        <f>Tabela3[[#This Row],[Abaixo do Básico]]*1</f>
        <v>25.274725274725274</v>
      </c>
      <c r="K203" s="421">
        <f>Tabela3[[#This Row],[TOTAL DE ALUNOS NO BÁSICO]]/Tabela3[[#This Row],[TOTAL DE ALUNOS]]*100</f>
        <v>10.989010989010989</v>
      </c>
      <c r="L203" s="421">
        <f>Tabela3[[#This Row],[Básico]]*2</f>
        <v>21.978021978021978</v>
      </c>
      <c r="M203" s="421">
        <f>Tabela3[[#This Row],[TOTAL DE ALUNOS ADEQUADO]]/Tabela3[[#This Row],[TOTAL DE ALUNOS]]*100</f>
        <v>25.274725274725274</v>
      </c>
      <c r="N203" s="421">
        <f>Tabela3[[#This Row],[Adequado]]*3</f>
        <v>75.824175824175825</v>
      </c>
      <c r="O203" s="421">
        <f>Tabela3[[#This Row],[TOTAL DE ALUNOS AVANÇADO]]/Tabela3[[#This Row],[TOTAL DE ALUNOS]]*100</f>
        <v>38.461538461538467</v>
      </c>
      <c r="P203" s="422">
        <f>Tabela3[[#This Row],[Avançado]]*4</f>
        <v>153.84615384615387</v>
      </c>
      <c r="Q203" s="422">
        <f t="shared" si="17"/>
        <v>276.92307692307696</v>
      </c>
      <c r="R203" s="423">
        <f>Tabela3[[#This Row],[Participação]]*100</f>
        <v>96.81</v>
      </c>
      <c r="S203" s="422">
        <f t="shared" si="18"/>
        <v>276.92307692307696</v>
      </c>
      <c r="T203" s="421">
        <f>Tabela3[[#This Row],[Meta 2024]]*0.65</f>
        <v>144.34088500000001</v>
      </c>
      <c r="U203" s="421">
        <v>222.06290000000001</v>
      </c>
      <c r="V203" s="422">
        <f t="shared" si="19"/>
        <v>1.7058511918801507</v>
      </c>
      <c r="W203" s="424">
        <f t="shared" si="20"/>
        <v>1</v>
      </c>
    </row>
    <row r="204" spans="1:23">
      <c r="A204" s="418">
        <v>253</v>
      </c>
      <c r="B204" s="419" t="s">
        <v>90</v>
      </c>
      <c r="C204" s="418">
        <v>37</v>
      </c>
      <c r="D204" s="418">
        <v>21</v>
      </c>
      <c r="E204" s="418">
        <v>33</v>
      </c>
      <c r="F204" s="418">
        <v>40</v>
      </c>
      <c r="G204" s="418">
        <f t="shared" si="16"/>
        <v>131</v>
      </c>
      <c r="H204" s="420">
        <v>0.89729999999999999</v>
      </c>
      <c r="I204" s="421">
        <f>Tabela3[[#This Row],[TOTAL DE ALUNOS ABAIXO DO BÁSICO]]/Tabela3[[#This Row],[TOTAL DE ALUNOS]]*100</f>
        <v>28.244274809160309</v>
      </c>
      <c r="J204" s="421">
        <f>Tabela3[[#This Row],[Abaixo do Básico]]*1</f>
        <v>28.244274809160309</v>
      </c>
      <c r="K204" s="421">
        <f>Tabela3[[#This Row],[TOTAL DE ALUNOS NO BÁSICO]]/Tabela3[[#This Row],[TOTAL DE ALUNOS]]*100</f>
        <v>16.030534351145036</v>
      </c>
      <c r="L204" s="421">
        <f>Tabela3[[#This Row],[Básico]]*2</f>
        <v>32.061068702290072</v>
      </c>
      <c r="M204" s="421">
        <f>Tabela3[[#This Row],[TOTAL DE ALUNOS ADEQUADO]]/Tabela3[[#This Row],[TOTAL DE ALUNOS]]*100</f>
        <v>25.190839694656486</v>
      </c>
      <c r="N204" s="421">
        <f>Tabela3[[#This Row],[Adequado]]*3</f>
        <v>75.572519083969453</v>
      </c>
      <c r="O204" s="421">
        <f>Tabela3[[#This Row],[TOTAL DE ALUNOS AVANÇADO]]/Tabela3[[#This Row],[TOTAL DE ALUNOS]]*100</f>
        <v>30.534351145038169</v>
      </c>
      <c r="P204" s="422">
        <f>Tabela3[[#This Row],[Avançado]]*4</f>
        <v>122.13740458015268</v>
      </c>
      <c r="Q204" s="422">
        <f t="shared" si="17"/>
        <v>258.01526717557249</v>
      </c>
      <c r="R204" s="423">
        <f>Tabela3[[#This Row],[Participação]]*100</f>
        <v>89.73</v>
      </c>
      <c r="S204" s="422">
        <f t="shared" si="18"/>
        <v>258.01526717557249</v>
      </c>
      <c r="T204" s="421">
        <f>Tabela3[[#This Row],[Meta 2024]]*0.65</f>
        <v>161.82581999999999</v>
      </c>
      <c r="U204" s="421">
        <v>248.96279999999999</v>
      </c>
      <c r="V204" s="422">
        <f t="shared" si="19"/>
        <v>1.1038877773314213</v>
      </c>
      <c r="W204" s="424">
        <f t="shared" si="20"/>
        <v>1</v>
      </c>
    </row>
    <row r="205" spans="1:23">
      <c r="A205" s="418">
        <v>254</v>
      </c>
      <c r="B205" s="419" t="s">
        <v>40</v>
      </c>
      <c r="C205" s="418">
        <v>72</v>
      </c>
      <c r="D205" s="418">
        <v>24</v>
      </c>
      <c r="E205" s="418">
        <v>44</v>
      </c>
      <c r="F205" s="418">
        <v>27</v>
      </c>
      <c r="G205" s="418">
        <f t="shared" si="16"/>
        <v>167</v>
      </c>
      <c r="H205" s="420">
        <v>0.92779999999999996</v>
      </c>
      <c r="I205" s="421">
        <f>Tabela3[[#This Row],[TOTAL DE ALUNOS ABAIXO DO BÁSICO]]/Tabela3[[#This Row],[TOTAL DE ALUNOS]]*100</f>
        <v>43.113772455089823</v>
      </c>
      <c r="J205" s="421">
        <f>Tabela3[[#This Row],[Abaixo do Básico]]*1</f>
        <v>43.113772455089823</v>
      </c>
      <c r="K205" s="421">
        <f>Tabela3[[#This Row],[TOTAL DE ALUNOS NO BÁSICO]]/Tabela3[[#This Row],[TOTAL DE ALUNOS]]*100</f>
        <v>14.37125748502994</v>
      </c>
      <c r="L205" s="421">
        <f>Tabela3[[#This Row],[Básico]]*2</f>
        <v>28.742514970059879</v>
      </c>
      <c r="M205" s="421">
        <f>Tabela3[[#This Row],[TOTAL DE ALUNOS ADEQUADO]]/Tabela3[[#This Row],[TOTAL DE ALUNOS]]*100</f>
        <v>26.34730538922156</v>
      </c>
      <c r="N205" s="421">
        <f>Tabela3[[#This Row],[Adequado]]*3</f>
        <v>79.041916167664681</v>
      </c>
      <c r="O205" s="421">
        <f>Tabela3[[#This Row],[TOTAL DE ALUNOS AVANÇADO]]/Tabela3[[#This Row],[TOTAL DE ALUNOS]]*100</f>
        <v>16.167664670658681</v>
      </c>
      <c r="P205" s="422">
        <f>Tabela3[[#This Row],[Avançado]]*4</f>
        <v>64.670658682634723</v>
      </c>
      <c r="Q205" s="422">
        <f t="shared" si="17"/>
        <v>215.56886227544911</v>
      </c>
      <c r="R205" s="423">
        <f>Tabela3[[#This Row],[Participação]]*100</f>
        <v>92.78</v>
      </c>
      <c r="S205" s="422">
        <f t="shared" si="18"/>
        <v>215.56886227544911</v>
      </c>
      <c r="T205" s="421">
        <f>Tabela3[[#This Row],[Meta 2024]]*0.65</f>
        <v>135.64973500000002</v>
      </c>
      <c r="U205" s="421">
        <v>208.6919</v>
      </c>
      <c r="V205" s="422">
        <f t="shared" si="19"/>
        <v>1.0941505810438272</v>
      </c>
      <c r="W205" s="424">
        <f t="shared" si="20"/>
        <v>1</v>
      </c>
    </row>
    <row r="206" spans="1:23">
      <c r="A206" s="418">
        <v>255</v>
      </c>
      <c r="B206" s="419" t="s">
        <v>37</v>
      </c>
      <c r="C206" s="418">
        <v>41</v>
      </c>
      <c r="D206" s="418">
        <v>9</v>
      </c>
      <c r="E206" s="418">
        <v>23</v>
      </c>
      <c r="F206" s="418">
        <v>13</v>
      </c>
      <c r="G206" s="418">
        <f t="shared" si="16"/>
        <v>86</v>
      </c>
      <c r="H206" s="420">
        <v>0.86</v>
      </c>
      <c r="I206" s="421">
        <f>Tabela3[[#This Row],[TOTAL DE ALUNOS ABAIXO DO BÁSICO]]/Tabela3[[#This Row],[TOTAL DE ALUNOS]]*100</f>
        <v>47.674418604651166</v>
      </c>
      <c r="J206" s="421">
        <f>Tabela3[[#This Row],[Abaixo do Básico]]*1</f>
        <v>47.674418604651166</v>
      </c>
      <c r="K206" s="421">
        <f>Tabela3[[#This Row],[TOTAL DE ALUNOS NO BÁSICO]]/Tabela3[[#This Row],[TOTAL DE ALUNOS]]*100</f>
        <v>10.465116279069768</v>
      </c>
      <c r="L206" s="421">
        <f>Tabela3[[#This Row],[Básico]]*2</f>
        <v>20.930232558139537</v>
      </c>
      <c r="M206" s="421">
        <f>Tabela3[[#This Row],[TOTAL DE ALUNOS ADEQUADO]]/Tabela3[[#This Row],[TOTAL DE ALUNOS]]*100</f>
        <v>26.744186046511626</v>
      </c>
      <c r="N206" s="421">
        <f>Tabela3[[#This Row],[Adequado]]*3</f>
        <v>80.232558139534873</v>
      </c>
      <c r="O206" s="421">
        <f>Tabela3[[#This Row],[TOTAL DE ALUNOS AVANÇADO]]/Tabela3[[#This Row],[TOTAL DE ALUNOS]]*100</f>
        <v>15.11627906976744</v>
      </c>
      <c r="P206" s="422">
        <f>Tabela3[[#This Row],[Avançado]]*4</f>
        <v>60.465116279069761</v>
      </c>
      <c r="Q206" s="422">
        <f t="shared" si="17"/>
        <v>209.30232558139534</v>
      </c>
      <c r="R206" s="423">
        <f>Tabela3[[#This Row],[Participação]]*100</f>
        <v>86</v>
      </c>
      <c r="S206" s="422">
        <f t="shared" si="18"/>
        <v>209.30232558139534</v>
      </c>
      <c r="T206" s="421">
        <f>Tabela3[[#This Row],[Meta 2024]]*0.65</f>
        <v>121.727255</v>
      </c>
      <c r="U206" s="421">
        <v>187.27269999999999</v>
      </c>
      <c r="V206" s="422">
        <f t="shared" si="19"/>
        <v>1.3360969718245921</v>
      </c>
      <c r="W206" s="424">
        <f t="shared" si="20"/>
        <v>1</v>
      </c>
    </row>
    <row r="207" spans="1:23">
      <c r="A207" s="418">
        <v>256</v>
      </c>
      <c r="B207" s="419" t="s">
        <v>10</v>
      </c>
      <c r="C207" s="418">
        <v>71</v>
      </c>
      <c r="D207" s="418">
        <v>20</v>
      </c>
      <c r="E207" s="418">
        <v>28</v>
      </c>
      <c r="F207" s="418">
        <v>16</v>
      </c>
      <c r="G207" s="418">
        <f t="shared" si="16"/>
        <v>135</v>
      </c>
      <c r="H207" s="420">
        <v>0.8599</v>
      </c>
      <c r="I207" s="421">
        <f>Tabela3[[#This Row],[TOTAL DE ALUNOS ABAIXO DO BÁSICO]]/Tabela3[[#This Row],[TOTAL DE ALUNOS]]*100</f>
        <v>52.592592592592588</v>
      </c>
      <c r="J207" s="421">
        <f>Tabela3[[#This Row],[Abaixo do Básico]]*1</f>
        <v>52.592592592592588</v>
      </c>
      <c r="K207" s="421">
        <f>Tabela3[[#This Row],[TOTAL DE ALUNOS NO BÁSICO]]/Tabela3[[#This Row],[TOTAL DE ALUNOS]]*100</f>
        <v>14.814814814814813</v>
      </c>
      <c r="L207" s="421">
        <f>Tabela3[[#This Row],[Básico]]*2</f>
        <v>29.629629629629626</v>
      </c>
      <c r="M207" s="421">
        <f>Tabela3[[#This Row],[TOTAL DE ALUNOS ADEQUADO]]/Tabela3[[#This Row],[TOTAL DE ALUNOS]]*100</f>
        <v>20.74074074074074</v>
      </c>
      <c r="N207" s="421">
        <f>Tabela3[[#This Row],[Adequado]]*3</f>
        <v>62.222222222222221</v>
      </c>
      <c r="O207" s="421">
        <f>Tabela3[[#This Row],[TOTAL DE ALUNOS AVANÇADO]]/Tabela3[[#This Row],[TOTAL DE ALUNOS]]*100</f>
        <v>11.851851851851853</v>
      </c>
      <c r="P207" s="422">
        <f>Tabela3[[#This Row],[Avançado]]*4</f>
        <v>47.407407407407412</v>
      </c>
      <c r="Q207" s="422">
        <f t="shared" si="17"/>
        <v>191.85185185185185</v>
      </c>
      <c r="R207" s="423">
        <f>Tabela3[[#This Row],[Participação]]*100</f>
        <v>85.99</v>
      </c>
      <c r="S207" s="422">
        <f t="shared" si="18"/>
        <v>191.85185185185185</v>
      </c>
      <c r="T207" s="421">
        <f>Tabela3[[#This Row],[Meta 2024]]*0.65</f>
        <v>120.18577999999999</v>
      </c>
      <c r="U207" s="421">
        <v>184.90119999999999</v>
      </c>
      <c r="V207" s="422">
        <f t="shared" si="19"/>
        <v>1.107403333731773</v>
      </c>
      <c r="W207" s="424">
        <f t="shared" si="20"/>
        <v>1</v>
      </c>
    </row>
    <row r="208" spans="1:23">
      <c r="A208" s="418">
        <v>260</v>
      </c>
      <c r="B208" s="419" t="s">
        <v>101</v>
      </c>
      <c r="C208" s="418">
        <v>52</v>
      </c>
      <c r="D208" s="418">
        <v>18</v>
      </c>
      <c r="E208" s="418">
        <v>44</v>
      </c>
      <c r="F208" s="418">
        <v>37</v>
      </c>
      <c r="G208" s="418">
        <f t="shared" si="16"/>
        <v>151</v>
      </c>
      <c r="H208" s="420">
        <v>0.84830000000000005</v>
      </c>
      <c r="I208" s="421">
        <f>Tabela3[[#This Row],[TOTAL DE ALUNOS ABAIXO DO BÁSICO]]/Tabela3[[#This Row],[TOTAL DE ALUNOS]]*100</f>
        <v>34.437086092715234</v>
      </c>
      <c r="J208" s="421">
        <f>Tabela3[[#This Row],[Abaixo do Básico]]*1</f>
        <v>34.437086092715234</v>
      </c>
      <c r="K208" s="421">
        <f>Tabela3[[#This Row],[TOTAL DE ALUNOS NO BÁSICO]]/Tabela3[[#This Row],[TOTAL DE ALUNOS]]*100</f>
        <v>11.920529801324504</v>
      </c>
      <c r="L208" s="421">
        <f>Tabela3[[#This Row],[Básico]]*2</f>
        <v>23.841059602649008</v>
      </c>
      <c r="M208" s="421">
        <f>Tabela3[[#This Row],[TOTAL DE ALUNOS ADEQUADO]]/Tabela3[[#This Row],[TOTAL DE ALUNOS]]*100</f>
        <v>29.139072847682119</v>
      </c>
      <c r="N208" s="421">
        <f>Tabela3[[#This Row],[Adequado]]*3</f>
        <v>87.41721854304636</v>
      </c>
      <c r="O208" s="421">
        <f>Tabela3[[#This Row],[TOTAL DE ALUNOS AVANÇADO]]/Tabela3[[#This Row],[TOTAL DE ALUNOS]]*100</f>
        <v>24.503311258278146</v>
      </c>
      <c r="P208" s="422">
        <f>Tabela3[[#This Row],[Avançado]]*4</f>
        <v>98.013245033112582</v>
      </c>
      <c r="Q208" s="422">
        <f t="shared" si="17"/>
        <v>243.70860927152319</v>
      </c>
      <c r="R208" s="423">
        <f>Tabela3[[#This Row],[Participação]]*100</f>
        <v>84.830000000000013</v>
      </c>
      <c r="S208" s="422">
        <f t="shared" si="18"/>
        <v>243.70860927152319</v>
      </c>
      <c r="T208" s="421">
        <f>Tabela3[[#This Row],[Meta 2024]]*0.65</f>
        <v>139.45457500000001</v>
      </c>
      <c r="U208" s="421">
        <v>214.5455</v>
      </c>
      <c r="V208" s="422">
        <f t="shared" si="19"/>
        <v>1.3883706223025376</v>
      </c>
      <c r="W208" s="424">
        <f t="shared" si="20"/>
        <v>1</v>
      </c>
    </row>
    <row r="209" spans="1:23">
      <c r="A209" s="418">
        <v>261</v>
      </c>
      <c r="B209" s="419" t="s">
        <v>211</v>
      </c>
      <c r="C209" s="418">
        <v>43</v>
      </c>
      <c r="D209" s="418">
        <v>21</v>
      </c>
      <c r="E209" s="418">
        <v>27</v>
      </c>
      <c r="F209" s="418">
        <v>36</v>
      </c>
      <c r="G209" s="418">
        <f t="shared" si="16"/>
        <v>127</v>
      </c>
      <c r="H209" s="420">
        <v>0.91369999999999996</v>
      </c>
      <c r="I209" s="421">
        <f>Tabela3[[#This Row],[TOTAL DE ALUNOS ABAIXO DO BÁSICO]]/Tabela3[[#This Row],[TOTAL DE ALUNOS]]*100</f>
        <v>33.858267716535437</v>
      </c>
      <c r="J209" s="421">
        <f>Tabela3[[#This Row],[Abaixo do Básico]]*1</f>
        <v>33.858267716535437</v>
      </c>
      <c r="K209" s="421">
        <f>Tabela3[[#This Row],[TOTAL DE ALUNOS NO BÁSICO]]/Tabela3[[#This Row],[TOTAL DE ALUNOS]]*100</f>
        <v>16.535433070866144</v>
      </c>
      <c r="L209" s="421">
        <f>Tabela3[[#This Row],[Básico]]*2</f>
        <v>33.070866141732289</v>
      </c>
      <c r="M209" s="421">
        <f>Tabela3[[#This Row],[TOTAL DE ALUNOS ADEQUADO]]/Tabela3[[#This Row],[TOTAL DE ALUNOS]]*100</f>
        <v>21.259842519685041</v>
      </c>
      <c r="N209" s="421">
        <f>Tabela3[[#This Row],[Adequado]]*3</f>
        <v>63.779527559055126</v>
      </c>
      <c r="O209" s="421">
        <f>Tabela3[[#This Row],[TOTAL DE ALUNOS AVANÇADO]]/Tabela3[[#This Row],[TOTAL DE ALUNOS]]*100</f>
        <v>28.346456692913385</v>
      </c>
      <c r="P209" s="422">
        <f>Tabela3[[#This Row],[Avançado]]*4</f>
        <v>113.38582677165354</v>
      </c>
      <c r="Q209" s="422">
        <f t="shared" si="17"/>
        <v>244.09448818897638</v>
      </c>
      <c r="R209" s="423">
        <f>Tabela3[[#This Row],[Participação]]*100</f>
        <v>91.36999999999999</v>
      </c>
      <c r="S209" s="422">
        <f t="shared" si="18"/>
        <v>244.09448818897638</v>
      </c>
      <c r="T209" s="421">
        <f>Tabela3[[#This Row],[Meta 2024]]*0.65</f>
        <v>143.61854000000002</v>
      </c>
      <c r="U209" s="421">
        <v>220.95160000000001</v>
      </c>
      <c r="V209" s="422">
        <f t="shared" si="19"/>
        <v>1.2992625429405791</v>
      </c>
      <c r="W209" s="424">
        <f t="shared" si="20"/>
        <v>1</v>
      </c>
    </row>
    <row r="210" spans="1:23">
      <c r="A210" s="418">
        <v>262</v>
      </c>
      <c r="B210" s="419" t="s">
        <v>22</v>
      </c>
      <c r="C210" s="418">
        <v>66</v>
      </c>
      <c r="D210" s="418">
        <v>19</v>
      </c>
      <c r="E210" s="418">
        <v>35</v>
      </c>
      <c r="F210" s="418">
        <v>42</v>
      </c>
      <c r="G210" s="418">
        <f t="shared" si="16"/>
        <v>162</v>
      </c>
      <c r="H210" s="420">
        <v>0.9</v>
      </c>
      <c r="I210" s="421">
        <f>Tabela3[[#This Row],[TOTAL DE ALUNOS ABAIXO DO BÁSICO]]/Tabela3[[#This Row],[TOTAL DE ALUNOS]]*100</f>
        <v>40.74074074074074</v>
      </c>
      <c r="J210" s="421">
        <f>Tabela3[[#This Row],[Abaixo do Básico]]*1</f>
        <v>40.74074074074074</v>
      </c>
      <c r="K210" s="421">
        <f>Tabela3[[#This Row],[TOTAL DE ALUNOS NO BÁSICO]]/Tabela3[[#This Row],[TOTAL DE ALUNOS]]*100</f>
        <v>11.728395061728394</v>
      </c>
      <c r="L210" s="421">
        <f>Tabela3[[#This Row],[Básico]]*2</f>
        <v>23.456790123456788</v>
      </c>
      <c r="M210" s="421">
        <f>Tabela3[[#This Row],[TOTAL DE ALUNOS ADEQUADO]]/Tabela3[[#This Row],[TOTAL DE ALUNOS]]*100</f>
        <v>21.604938271604937</v>
      </c>
      <c r="N210" s="421">
        <f>Tabela3[[#This Row],[Adequado]]*3</f>
        <v>64.81481481481481</v>
      </c>
      <c r="O210" s="421">
        <f>Tabela3[[#This Row],[TOTAL DE ALUNOS AVANÇADO]]/Tabela3[[#This Row],[TOTAL DE ALUNOS]]*100</f>
        <v>25.925925925925924</v>
      </c>
      <c r="P210" s="422">
        <f>Tabela3[[#This Row],[Avançado]]*4</f>
        <v>103.7037037037037</v>
      </c>
      <c r="Q210" s="422">
        <f t="shared" si="17"/>
        <v>232.71604938271605</v>
      </c>
      <c r="R210" s="423">
        <f>Tabela3[[#This Row],[Participação]]*100</f>
        <v>90</v>
      </c>
      <c r="S210" s="422">
        <f t="shared" si="18"/>
        <v>232.71604938271605</v>
      </c>
      <c r="T210" s="421">
        <f>Tabela3[[#This Row],[Meta 2024]]*0.65</f>
        <v>142.04801</v>
      </c>
      <c r="U210" s="421">
        <v>218.53540000000001</v>
      </c>
      <c r="V210" s="422">
        <f t="shared" si="19"/>
        <v>1.1853985262500921</v>
      </c>
      <c r="W210" s="424">
        <f t="shared" si="20"/>
        <v>1</v>
      </c>
    </row>
    <row r="211" spans="1:23">
      <c r="A211" s="418">
        <v>263</v>
      </c>
      <c r="B211" s="419" t="s">
        <v>36</v>
      </c>
      <c r="C211" s="418">
        <v>22</v>
      </c>
      <c r="D211" s="418">
        <v>10</v>
      </c>
      <c r="E211" s="418">
        <v>16</v>
      </c>
      <c r="F211" s="418">
        <v>6</v>
      </c>
      <c r="G211" s="418">
        <f t="shared" si="16"/>
        <v>54</v>
      </c>
      <c r="H211" s="420">
        <v>0.83079999999999998</v>
      </c>
      <c r="I211" s="421">
        <f>Tabela3[[#This Row],[TOTAL DE ALUNOS ABAIXO DO BÁSICO]]/Tabela3[[#This Row],[TOTAL DE ALUNOS]]*100</f>
        <v>40.74074074074074</v>
      </c>
      <c r="J211" s="421">
        <f>Tabela3[[#This Row],[Abaixo do Básico]]*1</f>
        <v>40.74074074074074</v>
      </c>
      <c r="K211" s="421">
        <f>Tabela3[[#This Row],[TOTAL DE ALUNOS NO BÁSICO]]/Tabela3[[#This Row],[TOTAL DE ALUNOS]]*100</f>
        <v>18.518518518518519</v>
      </c>
      <c r="L211" s="421">
        <f>Tabela3[[#This Row],[Básico]]*2</f>
        <v>37.037037037037038</v>
      </c>
      <c r="M211" s="421">
        <f>Tabela3[[#This Row],[TOTAL DE ALUNOS ADEQUADO]]/Tabela3[[#This Row],[TOTAL DE ALUNOS]]*100</f>
        <v>29.629629629629626</v>
      </c>
      <c r="N211" s="421">
        <f>Tabela3[[#This Row],[Adequado]]*3</f>
        <v>88.888888888888886</v>
      </c>
      <c r="O211" s="421">
        <f>Tabela3[[#This Row],[TOTAL DE ALUNOS AVANÇADO]]/Tabela3[[#This Row],[TOTAL DE ALUNOS]]*100</f>
        <v>11.111111111111111</v>
      </c>
      <c r="P211" s="422">
        <f>Tabela3[[#This Row],[Avançado]]*4</f>
        <v>44.444444444444443</v>
      </c>
      <c r="Q211" s="422">
        <f t="shared" si="17"/>
        <v>211.11111111111109</v>
      </c>
      <c r="R211" s="423">
        <f>Tabela3[[#This Row],[Participação]]*100</f>
        <v>83.08</v>
      </c>
      <c r="S211" s="422">
        <f t="shared" si="18"/>
        <v>211.11111111111109</v>
      </c>
      <c r="T211" s="421">
        <f>Tabela3[[#This Row],[Meta 2024]]*0.65</f>
        <v>113.45457500000001</v>
      </c>
      <c r="U211" s="421">
        <v>174.5455</v>
      </c>
      <c r="V211" s="422">
        <f t="shared" si="19"/>
        <v>1.5985440736265015</v>
      </c>
      <c r="W211" s="424">
        <f t="shared" si="20"/>
        <v>1</v>
      </c>
    </row>
    <row r="212" spans="1:23">
      <c r="A212" s="418">
        <v>264</v>
      </c>
      <c r="B212" s="419" t="s">
        <v>215</v>
      </c>
      <c r="C212" s="418">
        <v>15</v>
      </c>
      <c r="D212" s="418">
        <v>13</v>
      </c>
      <c r="E212" s="418">
        <v>17</v>
      </c>
      <c r="F212" s="418">
        <v>20</v>
      </c>
      <c r="G212" s="418">
        <f t="shared" si="16"/>
        <v>65</v>
      </c>
      <c r="H212" s="420">
        <v>0.91549999999999998</v>
      </c>
      <c r="I212" s="421">
        <f>Tabela3[[#This Row],[TOTAL DE ALUNOS ABAIXO DO BÁSICO]]/Tabela3[[#This Row],[TOTAL DE ALUNOS]]*100</f>
        <v>23.076923076923077</v>
      </c>
      <c r="J212" s="421">
        <f>Tabela3[[#This Row],[Abaixo do Básico]]*1</f>
        <v>23.076923076923077</v>
      </c>
      <c r="K212" s="421">
        <f>Tabela3[[#This Row],[TOTAL DE ALUNOS NO BÁSICO]]/Tabela3[[#This Row],[TOTAL DE ALUNOS]]*100</f>
        <v>20</v>
      </c>
      <c r="L212" s="421">
        <f>Tabela3[[#This Row],[Básico]]*2</f>
        <v>40</v>
      </c>
      <c r="M212" s="421">
        <f>Tabela3[[#This Row],[TOTAL DE ALUNOS ADEQUADO]]/Tabela3[[#This Row],[TOTAL DE ALUNOS]]*100</f>
        <v>26.153846153846157</v>
      </c>
      <c r="N212" s="421">
        <f>Tabela3[[#This Row],[Adequado]]*3</f>
        <v>78.461538461538467</v>
      </c>
      <c r="O212" s="421">
        <f>Tabela3[[#This Row],[TOTAL DE ALUNOS AVANÇADO]]/Tabela3[[#This Row],[TOTAL DE ALUNOS]]*100</f>
        <v>30.76923076923077</v>
      </c>
      <c r="P212" s="422">
        <f>Tabela3[[#This Row],[Avançado]]*4</f>
        <v>123.07692307692308</v>
      </c>
      <c r="Q212" s="422">
        <f t="shared" si="17"/>
        <v>264.61538461538464</v>
      </c>
      <c r="R212" s="423">
        <f>Tabela3[[#This Row],[Participação]]*100</f>
        <v>91.55</v>
      </c>
      <c r="S212" s="422">
        <f t="shared" si="18"/>
        <v>264.61538461538464</v>
      </c>
      <c r="T212" s="421">
        <f>Tabela3[[#This Row],[Meta 2024]]*0.65</f>
        <v>165.27992</v>
      </c>
      <c r="U212" s="421">
        <v>254.27680000000001</v>
      </c>
      <c r="V212" s="422">
        <f t="shared" si="19"/>
        <v>1.1161679444873194</v>
      </c>
      <c r="W212" s="424">
        <f t="shared" si="20"/>
        <v>1</v>
      </c>
    </row>
    <row r="213" spans="1:23">
      <c r="A213" s="418">
        <v>266</v>
      </c>
      <c r="B213" s="419" t="s">
        <v>199</v>
      </c>
      <c r="C213" s="418">
        <v>29</v>
      </c>
      <c r="D213" s="418">
        <v>10</v>
      </c>
      <c r="E213" s="418">
        <v>23</v>
      </c>
      <c r="F213" s="418">
        <v>25</v>
      </c>
      <c r="G213" s="418">
        <f t="shared" si="16"/>
        <v>87</v>
      </c>
      <c r="H213" s="420">
        <v>0.86140000000000005</v>
      </c>
      <c r="I213" s="421">
        <f>Tabela3[[#This Row],[TOTAL DE ALUNOS ABAIXO DO BÁSICO]]/Tabela3[[#This Row],[TOTAL DE ALUNOS]]*100</f>
        <v>33.333333333333329</v>
      </c>
      <c r="J213" s="421">
        <f>Tabela3[[#This Row],[Abaixo do Básico]]*1</f>
        <v>33.333333333333329</v>
      </c>
      <c r="K213" s="421">
        <f>Tabela3[[#This Row],[TOTAL DE ALUNOS NO BÁSICO]]/Tabela3[[#This Row],[TOTAL DE ALUNOS]]*100</f>
        <v>11.494252873563218</v>
      </c>
      <c r="L213" s="421">
        <f>Tabela3[[#This Row],[Básico]]*2</f>
        <v>22.988505747126435</v>
      </c>
      <c r="M213" s="421">
        <f>Tabela3[[#This Row],[TOTAL DE ALUNOS ADEQUADO]]/Tabela3[[#This Row],[TOTAL DE ALUNOS]]*100</f>
        <v>26.436781609195403</v>
      </c>
      <c r="N213" s="421">
        <f>Tabela3[[#This Row],[Adequado]]*3</f>
        <v>79.310344827586206</v>
      </c>
      <c r="O213" s="421">
        <f>Tabela3[[#This Row],[TOTAL DE ALUNOS AVANÇADO]]/Tabela3[[#This Row],[TOTAL DE ALUNOS]]*100</f>
        <v>28.735632183908045</v>
      </c>
      <c r="P213" s="422">
        <f>Tabela3[[#This Row],[Avançado]]*4</f>
        <v>114.94252873563218</v>
      </c>
      <c r="Q213" s="422">
        <f t="shared" si="17"/>
        <v>250.57471264367817</v>
      </c>
      <c r="R213" s="423">
        <f>Tabela3[[#This Row],[Participação]]*100</f>
        <v>86.14</v>
      </c>
      <c r="S213" s="422">
        <f t="shared" si="18"/>
        <v>250.57471264367817</v>
      </c>
      <c r="T213" s="421">
        <f>Tabela3[[#This Row],[Meta 2024]]*0.65</f>
        <v>146.67679000000001</v>
      </c>
      <c r="U213" s="421">
        <v>225.6566</v>
      </c>
      <c r="V213" s="422">
        <f t="shared" si="19"/>
        <v>1.3154997795471801</v>
      </c>
      <c r="W213" s="424">
        <f t="shared" si="20"/>
        <v>1</v>
      </c>
    </row>
    <row r="214" spans="1:23">
      <c r="A214" s="418">
        <v>267</v>
      </c>
      <c r="B214" s="419" t="s">
        <v>216</v>
      </c>
      <c r="C214" s="419"/>
      <c r="D214" s="419"/>
      <c r="E214" s="419"/>
      <c r="F214" s="419"/>
      <c r="G214" s="418"/>
      <c r="H214" s="444"/>
      <c r="I214" s="421"/>
      <c r="J214" s="421"/>
      <c r="K214" s="421"/>
      <c r="L214" s="421"/>
      <c r="M214" s="421"/>
      <c r="N214" s="421"/>
      <c r="O214" s="421"/>
      <c r="P214" s="422"/>
      <c r="Q214" s="422"/>
      <c r="R214" s="423"/>
      <c r="S214" s="422"/>
      <c r="T214" s="421"/>
      <c r="U214" s="421"/>
      <c r="V214" s="422"/>
      <c r="W214" s="445"/>
    </row>
    <row r="215" spans="1:23">
      <c r="A215" s="418">
        <v>268</v>
      </c>
      <c r="B215" s="419" t="s">
        <v>120</v>
      </c>
      <c r="C215" s="418">
        <v>50</v>
      </c>
      <c r="D215" s="418">
        <v>18</v>
      </c>
      <c r="E215" s="418">
        <v>26</v>
      </c>
      <c r="F215" s="418">
        <v>24</v>
      </c>
      <c r="G215" s="418">
        <f t="shared" ref="G215:G227" si="21">SUM(C215:F215)</f>
        <v>118</v>
      </c>
      <c r="H215" s="420">
        <v>0.77629999999999999</v>
      </c>
      <c r="I215" s="421">
        <f>Tabela3[[#This Row],[TOTAL DE ALUNOS ABAIXO DO BÁSICO]]/Tabela3[[#This Row],[TOTAL DE ALUNOS]]*100</f>
        <v>42.372881355932201</v>
      </c>
      <c r="J215" s="421">
        <f>Tabela3[[#This Row],[Abaixo do Básico]]*1</f>
        <v>42.372881355932201</v>
      </c>
      <c r="K215" s="421">
        <f>Tabela3[[#This Row],[TOTAL DE ALUNOS NO BÁSICO]]/Tabela3[[#This Row],[TOTAL DE ALUNOS]]*100</f>
        <v>15.254237288135593</v>
      </c>
      <c r="L215" s="421">
        <f>Tabela3[[#This Row],[Básico]]*2</f>
        <v>30.508474576271187</v>
      </c>
      <c r="M215" s="421">
        <f>Tabela3[[#This Row],[TOTAL DE ALUNOS ADEQUADO]]/Tabela3[[#This Row],[TOTAL DE ALUNOS]]*100</f>
        <v>22.033898305084744</v>
      </c>
      <c r="N215" s="421">
        <f>Tabela3[[#This Row],[Adequado]]*3</f>
        <v>66.101694915254228</v>
      </c>
      <c r="O215" s="421">
        <f>Tabela3[[#This Row],[TOTAL DE ALUNOS AVANÇADO]]/Tabela3[[#This Row],[TOTAL DE ALUNOS]]*100</f>
        <v>20.33898305084746</v>
      </c>
      <c r="P215" s="422">
        <f>Tabela3[[#This Row],[Avançado]]*4</f>
        <v>81.355932203389841</v>
      </c>
      <c r="Q215" s="422">
        <f t="shared" ref="Q215:Q227" si="22">SUM(J215,L215,N215,P215)</f>
        <v>220.33898305084745</v>
      </c>
      <c r="R215" s="423">
        <f>Tabela3[[#This Row],[Participação]]*100</f>
        <v>77.63</v>
      </c>
      <c r="S215" s="422">
        <f t="shared" ref="S215:S227" si="23">IF(R215&gt;=$B$1,Q215,(R215*Q215)/100)</f>
        <v>220.33898305084745</v>
      </c>
      <c r="T215" s="421">
        <f>Tabela3[[#This Row],[Meta 2024]]*0.65</f>
        <v>123.92158999999999</v>
      </c>
      <c r="U215" s="421">
        <v>190.64859999999999</v>
      </c>
      <c r="V215" s="422">
        <f t="shared" ref="V215:V227" si="24">1-((U215-S215)/(U215-T215))</f>
        <v>1.4449529965578776</v>
      </c>
      <c r="W215" s="424">
        <f t="shared" ref="W215:W227" si="25">IF(V215&lt;0,0,IF(V215&lt;=1,V215,1))</f>
        <v>1</v>
      </c>
    </row>
    <row r="216" spans="1:23">
      <c r="A216" s="418">
        <v>271</v>
      </c>
      <c r="B216" s="419" t="s">
        <v>198</v>
      </c>
      <c r="C216" s="418">
        <v>21</v>
      </c>
      <c r="D216" s="418">
        <v>9</v>
      </c>
      <c r="E216" s="418">
        <v>20</v>
      </c>
      <c r="F216" s="418">
        <v>17</v>
      </c>
      <c r="G216" s="418">
        <f t="shared" si="21"/>
        <v>67</v>
      </c>
      <c r="H216" s="446">
        <v>0.85899999999999999</v>
      </c>
      <c r="I216" s="421">
        <f>Tabela3[[#This Row],[TOTAL DE ALUNOS ABAIXO DO BÁSICO]]/Tabela3[[#This Row],[TOTAL DE ALUNOS]]*100</f>
        <v>31.343283582089555</v>
      </c>
      <c r="J216" s="421">
        <f>Tabela3[[#This Row],[Abaixo do Básico]]*1</f>
        <v>31.343283582089555</v>
      </c>
      <c r="K216" s="421">
        <f>Tabela3[[#This Row],[TOTAL DE ALUNOS NO BÁSICO]]/Tabela3[[#This Row],[TOTAL DE ALUNOS]]*100</f>
        <v>13.432835820895523</v>
      </c>
      <c r="L216" s="421">
        <f>Tabela3[[#This Row],[Básico]]*2</f>
        <v>26.865671641791046</v>
      </c>
      <c r="M216" s="421">
        <f>Tabela3[[#This Row],[TOTAL DE ALUNOS ADEQUADO]]/Tabela3[[#This Row],[TOTAL DE ALUNOS]]*100</f>
        <v>29.850746268656714</v>
      </c>
      <c r="N216" s="421">
        <f>Tabela3[[#This Row],[Adequado]]*3</f>
        <v>89.552238805970148</v>
      </c>
      <c r="O216" s="421">
        <f>Tabela3[[#This Row],[TOTAL DE ALUNOS AVANÇADO]]/Tabela3[[#This Row],[TOTAL DE ALUNOS]]*100</f>
        <v>25.373134328358208</v>
      </c>
      <c r="P216" s="422">
        <f>Tabela3[[#This Row],[Avançado]]*4</f>
        <v>101.49253731343283</v>
      </c>
      <c r="Q216" s="422">
        <f t="shared" si="22"/>
        <v>249.25373134328356</v>
      </c>
      <c r="R216" s="423">
        <f>Tabela3[[#This Row],[Participação]]*100</f>
        <v>85.9</v>
      </c>
      <c r="S216" s="422">
        <f t="shared" si="23"/>
        <v>249.25373134328356</v>
      </c>
      <c r="T216" s="421">
        <f>Tabela3[[#This Row],[Meta 2024]]*0.65</f>
        <v>160.96209999999999</v>
      </c>
      <c r="U216" s="421">
        <v>247.63399999999999</v>
      </c>
      <c r="V216" s="422">
        <f t="shared" si="24"/>
        <v>1.0186880793346353</v>
      </c>
      <c r="W216" s="424">
        <f t="shared" si="25"/>
        <v>1</v>
      </c>
    </row>
    <row r="217" spans="1:23">
      <c r="A217" s="418">
        <v>273</v>
      </c>
      <c r="B217" s="419" t="s">
        <v>82</v>
      </c>
      <c r="C217" s="418">
        <v>9</v>
      </c>
      <c r="D217" s="418">
        <v>7</v>
      </c>
      <c r="E217" s="418">
        <v>13</v>
      </c>
      <c r="F217" s="418">
        <v>19</v>
      </c>
      <c r="G217" s="418">
        <f t="shared" si="21"/>
        <v>48</v>
      </c>
      <c r="H217" s="446">
        <v>0.92310000000000003</v>
      </c>
      <c r="I217" s="421">
        <f>Tabela3[[#This Row],[TOTAL DE ALUNOS ABAIXO DO BÁSICO]]/Tabela3[[#This Row],[TOTAL DE ALUNOS]]*100</f>
        <v>18.75</v>
      </c>
      <c r="J217" s="421">
        <f>Tabela3[[#This Row],[Abaixo do Básico]]*1</f>
        <v>18.75</v>
      </c>
      <c r="K217" s="421">
        <f>Tabela3[[#This Row],[TOTAL DE ALUNOS NO BÁSICO]]/Tabela3[[#This Row],[TOTAL DE ALUNOS]]*100</f>
        <v>14.583333333333334</v>
      </c>
      <c r="L217" s="421">
        <f>Tabela3[[#This Row],[Básico]]*2</f>
        <v>29.166666666666668</v>
      </c>
      <c r="M217" s="421">
        <f>Tabela3[[#This Row],[TOTAL DE ALUNOS ADEQUADO]]/Tabela3[[#This Row],[TOTAL DE ALUNOS]]*100</f>
        <v>27.083333333333332</v>
      </c>
      <c r="N217" s="421">
        <f>Tabela3[[#This Row],[Adequado]]*3</f>
        <v>81.25</v>
      </c>
      <c r="O217" s="421">
        <f>Tabela3[[#This Row],[TOTAL DE ALUNOS AVANÇADO]]/Tabela3[[#This Row],[TOTAL DE ALUNOS]]*100</f>
        <v>39.583333333333329</v>
      </c>
      <c r="P217" s="422">
        <f>Tabela3[[#This Row],[Avançado]]*4</f>
        <v>158.33333333333331</v>
      </c>
      <c r="Q217" s="422">
        <f t="shared" si="22"/>
        <v>287.5</v>
      </c>
      <c r="R217" s="423">
        <f>Tabela3[[#This Row],[Participação]]*100</f>
        <v>92.31</v>
      </c>
      <c r="S217" s="422">
        <f t="shared" si="23"/>
        <v>287.5</v>
      </c>
      <c r="T217" s="421">
        <f>Tabela3[[#This Row],[Meta 2024]]*0.65</f>
        <v>154.27912499999999</v>
      </c>
      <c r="U217" s="421">
        <v>237.35249999999999</v>
      </c>
      <c r="V217" s="422">
        <f t="shared" si="24"/>
        <v>1.6036530958324495</v>
      </c>
      <c r="W217" s="424">
        <f t="shared" si="25"/>
        <v>1</v>
      </c>
    </row>
    <row r="218" spans="1:23">
      <c r="A218" s="418">
        <v>274</v>
      </c>
      <c r="B218" s="419" t="s">
        <v>75</v>
      </c>
      <c r="C218" s="418">
        <v>24</v>
      </c>
      <c r="D218" s="418">
        <v>9</v>
      </c>
      <c r="E218" s="418">
        <v>18</v>
      </c>
      <c r="F218" s="418">
        <v>22</v>
      </c>
      <c r="G218" s="418">
        <f t="shared" si="21"/>
        <v>73</v>
      </c>
      <c r="H218" s="446">
        <v>0.94810000000000005</v>
      </c>
      <c r="I218" s="421">
        <f>Tabela3[[#This Row],[TOTAL DE ALUNOS ABAIXO DO BÁSICO]]/Tabela3[[#This Row],[TOTAL DE ALUNOS]]*100</f>
        <v>32.87671232876712</v>
      </c>
      <c r="J218" s="421">
        <f>Tabela3[[#This Row],[Abaixo do Básico]]*1</f>
        <v>32.87671232876712</v>
      </c>
      <c r="K218" s="421">
        <f>Tabela3[[#This Row],[TOTAL DE ALUNOS NO BÁSICO]]/Tabela3[[#This Row],[TOTAL DE ALUNOS]]*100</f>
        <v>12.328767123287671</v>
      </c>
      <c r="L218" s="421">
        <f>Tabela3[[#This Row],[Básico]]*2</f>
        <v>24.657534246575342</v>
      </c>
      <c r="M218" s="421">
        <f>Tabela3[[#This Row],[TOTAL DE ALUNOS ADEQUADO]]/Tabela3[[#This Row],[TOTAL DE ALUNOS]]*100</f>
        <v>24.657534246575342</v>
      </c>
      <c r="N218" s="421">
        <f>Tabela3[[#This Row],[Adequado]]*3</f>
        <v>73.972602739726028</v>
      </c>
      <c r="O218" s="421">
        <f>Tabela3[[#This Row],[TOTAL DE ALUNOS AVANÇADO]]/Tabela3[[#This Row],[TOTAL DE ALUNOS]]*100</f>
        <v>30.136986301369863</v>
      </c>
      <c r="P218" s="422">
        <f>Tabela3[[#This Row],[Avançado]]*4</f>
        <v>120.54794520547945</v>
      </c>
      <c r="Q218" s="422">
        <f t="shared" si="22"/>
        <v>252.05479452054794</v>
      </c>
      <c r="R218" s="423">
        <f>Tabela3[[#This Row],[Participação]]*100</f>
        <v>94.81</v>
      </c>
      <c r="S218" s="422">
        <f t="shared" si="23"/>
        <v>252.05479452054794</v>
      </c>
      <c r="T218" s="421">
        <f>Tabela3[[#This Row],[Meta 2024]]*0.65</f>
        <v>162.036485</v>
      </c>
      <c r="U218" s="421">
        <v>249.2869</v>
      </c>
      <c r="V218" s="422">
        <f t="shared" si="24"/>
        <v>1.0317235685417421</v>
      </c>
      <c r="W218" s="424">
        <f t="shared" si="25"/>
        <v>1</v>
      </c>
    </row>
    <row r="219" spans="1:23">
      <c r="A219" s="418">
        <v>277</v>
      </c>
      <c r="B219" s="419" t="s">
        <v>122</v>
      </c>
      <c r="C219" s="418">
        <v>22</v>
      </c>
      <c r="D219" s="418">
        <v>8</v>
      </c>
      <c r="E219" s="418">
        <v>16</v>
      </c>
      <c r="F219" s="418">
        <v>13</v>
      </c>
      <c r="G219" s="418">
        <f t="shared" si="21"/>
        <v>59</v>
      </c>
      <c r="H219" s="446">
        <v>0.78669999999999995</v>
      </c>
      <c r="I219" s="421">
        <f>Tabela3[[#This Row],[TOTAL DE ALUNOS ABAIXO DO BÁSICO]]/Tabela3[[#This Row],[TOTAL DE ALUNOS]]*100</f>
        <v>37.288135593220339</v>
      </c>
      <c r="J219" s="421">
        <f>Tabela3[[#This Row],[Abaixo do Básico]]*1</f>
        <v>37.288135593220339</v>
      </c>
      <c r="K219" s="421">
        <f>Tabela3[[#This Row],[TOTAL DE ALUNOS NO BÁSICO]]/Tabela3[[#This Row],[TOTAL DE ALUNOS]]*100</f>
        <v>13.559322033898304</v>
      </c>
      <c r="L219" s="421">
        <f>Tabela3[[#This Row],[Básico]]*2</f>
        <v>27.118644067796609</v>
      </c>
      <c r="M219" s="421">
        <f>Tabela3[[#This Row],[TOTAL DE ALUNOS ADEQUADO]]/Tabela3[[#This Row],[TOTAL DE ALUNOS]]*100</f>
        <v>27.118644067796609</v>
      </c>
      <c r="N219" s="421">
        <f>Tabela3[[#This Row],[Adequado]]*3</f>
        <v>81.355932203389827</v>
      </c>
      <c r="O219" s="421">
        <f>Tabela3[[#This Row],[TOTAL DE ALUNOS AVANÇADO]]/Tabela3[[#This Row],[TOTAL DE ALUNOS]]*100</f>
        <v>22.033898305084744</v>
      </c>
      <c r="P219" s="422">
        <f>Tabela3[[#This Row],[Avançado]]*4</f>
        <v>88.135593220338976</v>
      </c>
      <c r="Q219" s="422">
        <f t="shared" si="22"/>
        <v>233.89830508474574</v>
      </c>
      <c r="R219" s="423">
        <f>Tabela3[[#This Row],[Participação]]*100</f>
        <v>78.67</v>
      </c>
      <c r="S219" s="422">
        <f t="shared" si="23"/>
        <v>233.89830508474574</v>
      </c>
      <c r="T219" s="421">
        <f>Tabela3[[#This Row],[Meta 2024]]*0.65</f>
        <v>156.376025</v>
      </c>
      <c r="U219" s="421">
        <v>240.57849999999999</v>
      </c>
      <c r="V219" s="422">
        <f t="shared" si="24"/>
        <v>0.92066510022117232</v>
      </c>
      <c r="W219" s="424">
        <f t="shared" si="25"/>
        <v>0.92066510022117232</v>
      </c>
    </row>
    <row r="220" spans="1:23">
      <c r="A220" s="418">
        <v>279</v>
      </c>
      <c r="B220" s="419" t="s">
        <v>221</v>
      </c>
      <c r="C220" s="418">
        <v>29</v>
      </c>
      <c r="D220" s="418">
        <v>15</v>
      </c>
      <c r="E220" s="418">
        <v>20</v>
      </c>
      <c r="F220" s="418">
        <v>18</v>
      </c>
      <c r="G220" s="418">
        <f t="shared" si="21"/>
        <v>82</v>
      </c>
      <c r="H220" s="446">
        <v>0.9425</v>
      </c>
      <c r="I220" s="421">
        <f>Tabela3[[#This Row],[TOTAL DE ALUNOS ABAIXO DO BÁSICO]]/Tabela3[[#This Row],[TOTAL DE ALUNOS]]*100</f>
        <v>35.365853658536587</v>
      </c>
      <c r="J220" s="421">
        <f>Tabela3[[#This Row],[Abaixo do Básico]]*1</f>
        <v>35.365853658536587</v>
      </c>
      <c r="K220" s="421">
        <f>Tabela3[[#This Row],[TOTAL DE ALUNOS NO BÁSICO]]/Tabela3[[#This Row],[TOTAL DE ALUNOS]]*100</f>
        <v>18.292682926829269</v>
      </c>
      <c r="L220" s="421">
        <f>Tabela3[[#This Row],[Básico]]*2</f>
        <v>36.585365853658537</v>
      </c>
      <c r="M220" s="421">
        <f>Tabela3[[#This Row],[TOTAL DE ALUNOS ADEQUADO]]/Tabela3[[#This Row],[TOTAL DE ALUNOS]]*100</f>
        <v>24.390243902439025</v>
      </c>
      <c r="N220" s="421">
        <f>Tabela3[[#This Row],[Adequado]]*3</f>
        <v>73.170731707317074</v>
      </c>
      <c r="O220" s="421">
        <f>Tabela3[[#This Row],[TOTAL DE ALUNOS AVANÇADO]]/Tabela3[[#This Row],[TOTAL DE ALUNOS]]*100</f>
        <v>21.951219512195124</v>
      </c>
      <c r="P220" s="422">
        <f>Tabela3[[#This Row],[Avançado]]*4</f>
        <v>87.804878048780495</v>
      </c>
      <c r="Q220" s="422">
        <f t="shared" si="22"/>
        <v>232.92682926829269</v>
      </c>
      <c r="R220" s="423">
        <f>Tabela3[[#This Row],[Participação]]*100</f>
        <v>94.25</v>
      </c>
      <c r="S220" s="422">
        <f t="shared" si="23"/>
        <v>232.92682926829269</v>
      </c>
      <c r="T220" s="421">
        <f>Tabela3[[#This Row],[Meta 2024]]*0.65</f>
        <v>145.131935</v>
      </c>
      <c r="U220" s="421">
        <v>223.2799</v>
      </c>
      <c r="V220" s="422">
        <f t="shared" si="24"/>
        <v>1.1234444079035544</v>
      </c>
      <c r="W220" s="424">
        <f t="shared" si="25"/>
        <v>1</v>
      </c>
    </row>
    <row r="221" spans="1:23">
      <c r="A221" s="418">
        <v>281</v>
      </c>
      <c r="B221" s="419" t="s">
        <v>12</v>
      </c>
      <c r="C221" s="418">
        <v>31</v>
      </c>
      <c r="D221" s="418">
        <v>7</v>
      </c>
      <c r="E221" s="418">
        <v>10</v>
      </c>
      <c r="F221" s="418">
        <v>7</v>
      </c>
      <c r="G221" s="418">
        <f t="shared" si="21"/>
        <v>55</v>
      </c>
      <c r="H221" s="446">
        <v>0.84619999999999995</v>
      </c>
      <c r="I221" s="421">
        <f>Tabela3[[#This Row],[TOTAL DE ALUNOS ABAIXO DO BÁSICO]]/Tabela3[[#This Row],[TOTAL DE ALUNOS]]*100</f>
        <v>56.36363636363636</v>
      </c>
      <c r="J221" s="421">
        <f>Tabela3[[#This Row],[Abaixo do Básico]]*1</f>
        <v>56.36363636363636</v>
      </c>
      <c r="K221" s="421">
        <f>Tabela3[[#This Row],[TOTAL DE ALUNOS NO BÁSICO]]/Tabela3[[#This Row],[TOTAL DE ALUNOS]]*100</f>
        <v>12.727272727272727</v>
      </c>
      <c r="L221" s="421">
        <f>Tabela3[[#This Row],[Básico]]*2</f>
        <v>25.454545454545453</v>
      </c>
      <c r="M221" s="421">
        <f>Tabela3[[#This Row],[TOTAL DE ALUNOS ADEQUADO]]/Tabela3[[#This Row],[TOTAL DE ALUNOS]]*100</f>
        <v>18.181818181818183</v>
      </c>
      <c r="N221" s="421">
        <f>Tabela3[[#This Row],[Adequado]]*3</f>
        <v>54.545454545454547</v>
      </c>
      <c r="O221" s="421">
        <f>Tabela3[[#This Row],[TOTAL DE ALUNOS AVANÇADO]]/Tabela3[[#This Row],[TOTAL DE ALUNOS]]*100</f>
        <v>12.727272727272727</v>
      </c>
      <c r="P221" s="422">
        <f>Tabela3[[#This Row],[Avançado]]*4</f>
        <v>50.909090909090907</v>
      </c>
      <c r="Q221" s="422">
        <f t="shared" si="22"/>
        <v>187.27272727272728</v>
      </c>
      <c r="R221" s="423">
        <f>Tabela3[[#This Row],[Participação]]*100</f>
        <v>84.61999999999999</v>
      </c>
      <c r="S221" s="422">
        <f t="shared" si="23"/>
        <v>187.27272727272728</v>
      </c>
      <c r="T221" s="421">
        <f>Tabela3[[#This Row],[Meta 2024]]*0.65</f>
        <v>135.02274500000001</v>
      </c>
      <c r="U221" s="421">
        <v>207.72730000000001</v>
      </c>
      <c r="V221" s="422">
        <f t="shared" si="24"/>
        <v>0.71866174372055869</v>
      </c>
      <c r="W221" s="424">
        <f t="shared" si="25"/>
        <v>0.71866174372055869</v>
      </c>
    </row>
    <row r="222" spans="1:23">
      <c r="A222" s="418">
        <v>282</v>
      </c>
      <c r="B222" s="419" t="s">
        <v>56</v>
      </c>
      <c r="C222" s="418">
        <v>48</v>
      </c>
      <c r="D222" s="418">
        <v>24</v>
      </c>
      <c r="E222" s="418">
        <v>31</v>
      </c>
      <c r="F222" s="418">
        <v>26</v>
      </c>
      <c r="G222" s="418">
        <f t="shared" si="21"/>
        <v>129</v>
      </c>
      <c r="H222" s="446">
        <v>0.89580000000000004</v>
      </c>
      <c r="I222" s="421">
        <f>Tabela3[[#This Row],[TOTAL DE ALUNOS ABAIXO DO BÁSICO]]/Tabela3[[#This Row],[TOTAL DE ALUNOS]]*100</f>
        <v>37.209302325581397</v>
      </c>
      <c r="J222" s="421">
        <f>Tabela3[[#This Row],[Abaixo do Básico]]*1</f>
        <v>37.209302325581397</v>
      </c>
      <c r="K222" s="421">
        <f>Tabela3[[#This Row],[TOTAL DE ALUNOS NO BÁSICO]]/Tabela3[[#This Row],[TOTAL DE ALUNOS]]*100</f>
        <v>18.604651162790699</v>
      </c>
      <c r="L222" s="421">
        <f>Tabela3[[#This Row],[Básico]]*2</f>
        <v>37.209302325581397</v>
      </c>
      <c r="M222" s="421">
        <f>Tabela3[[#This Row],[TOTAL DE ALUNOS ADEQUADO]]/Tabela3[[#This Row],[TOTAL DE ALUNOS]]*100</f>
        <v>24.031007751937985</v>
      </c>
      <c r="N222" s="421">
        <f>Tabela3[[#This Row],[Adequado]]*3</f>
        <v>72.093023255813961</v>
      </c>
      <c r="O222" s="421">
        <f>Tabela3[[#This Row],[TOTAL DE ALUNOS AVANÇADO]]/Tabela3[[#This Row],[TOTAL DE ALUNOS]]*100</f>
        <v>20.155038759689923</v>
      </c>
      <c r="P222" s="422">
        <f>Tabela3[[#This Row],[Avançado]]*4</f>
        <v>80.620155038759691</v>
      </c>
      <c r="Q222" s="422">
        <f t="shared" si="22"/>
        <v>227.13178294573643</v>
      </c>
      <c r="R222" s="423">
        <f>Tabela3[[#This Row],[Participação]]*100</f>
        <v>89.58</v>
      </c>
      <c r="S222" s="422">
        <f t="shared" si="23"/>
        <v>227.13178294573643</v>
      </c>
      <c r="T222" s="421">
        <f>Tabela3[[#This Row],[Meta 2024]]*0.65</f>
        <v>132.440945</v>
      </c>
      <c r="U222" s="421">
        <v>203.75530000000001</v>
      </c>
      <c r="V222" s="422">
        <f t="shared" si="24"/>
        <v>1.3277949151434718</v>
      </c>
      <c r="W222" s="424">
        <f t="shared" si="25"/>
        <v>1</v>
      </c>
    </row>
    <row r="223" spans="1:23">
      <c r="A223" s="418">
        <v>285</v>
      </c>
      <c r="B223" s="419" t="s">
        <v>32</v>
      </c>
      <c r="C223" s="418">
        <v>67</v>
      </c>
      <c r="D223" s="418">
        <v>26</v>
      </c>
      <c r="E223" s="418">
        <v>61</v>
      </c>
      <c r="F223" s="418">
        <v>48</v>
      </c>
      <c r="G223" s="418">
        <f t="shared" si="21"/>
        <v>202</v>
      </c>
      <c r="H223" s="446">
        <v>0.88600000000000001</v>
      </c>
      <c r="I223" s="421">
        <f>Tabela3[[#This Row],[TOTAL DE ALUNOS ABAIXO DO BÁSICO]]/Tabela3[[#This Row],[TOTAL DE ALUNOS]]*100</f>
        <v>33.168316831683171</v>
      </c>
      <c r="J223" s="421">
        <f>Tabela3[[#This Row],[Abaixo do Básico]]*1</f>
        <v>33.168316831683171</v>
      </c>
      <c r="K223" s="421">
        <f>Tabela3[[#This Row],[TOTAL DE ALUNOS NO BÁSICO]]/Tabela3[[#This Row],[TOTAL DE ALUNOS]]*100</f>
        <v>12.871287128712872</v>
      </c>
      <c r="L223" s="421">
        <f>Tabela3[[#This Row],[Básico]]*2</f>
        <v>25.742574257425744</v>
      </c>
      <c r="M223" s="421">
        <f>Tabela3[[#This Row],[TOTAL DE ALUNOS ADEQUADO]]/Tabela3[[#This Row],[TOTAL DE ALUNOS]]*100</f>
        <v>30.198019801980198</v>
      </c>
      <c r="N223" s="421">
        <f>Tabela3[[#This Row],[Adequado]]*3</f>
        <v>90.594059405940598</v>
      </c>
      <c r="O223" s="421">
        <f>Tabela3[[#This Row],[TOTAL DE ALUNOS AVANÇADO]]/Tabela3[[#This Row],[TOTAL DE ALUNOS]]*100</f>
        <v>23.762376237623762</v>
      </c>
      <c r="P223" s="422">
        <f>Tabela3[[#This Row],[Avançado]]*4</f>
        <v>95.049504950495049</v>
      </c>
      <c r="Q223" s="422">
        <f t="shared" si="22"/>
        <v>244.55445544554456</v>
      </c>
      <c r="R223" s="423">
        <f>Tabela3[[#This Row],[Participação]]*100</f>
        <v>88.6</v>
      </c>
      <c r="S223" s="422">
        <f t="shared" si="23"/>
        <v>244.55445544554456</v>
      </c>
      <c r="T223" s="421">
        <f>Tabela3[[#This Row],[Meta 2024]]*0.65</f>
        <v>156.11648000000002</v>
      </c>
      <c r="U223" s="421">
        <v>240.17920000000001</v>
      </c>
      <c r="V223" s="422">
        <f t="shared" si="24"/>
        <v>1.0520475122092714</v>
      </c>
      <c r="W223" s="424">
        <f t="shared" si="25"/>
        <v>1</v>
      </c>
    </row>
    <row r="224" spans="1:23">
      <c r="A224" s="418">
        <v>287</v>
      </c>
      <c r="B224" s="419" t="s">
        <v>103</v>
      </c>
      <c r="C224" s="418">
        <v>12</v>
      </c>
      <c r="D224" s="418">
        <v>12</v>
      </c>
      <c r="E224" s="418">
        <v>7</v>
      </c>
      <c r="F224" s="418">
        <v>1</v>
      </c>
      <c r="G224" s="418">
        <f t="shared" si="21"/>
        <v>32</v>
      </c>
      <c r="H224" s="446">
        <v>1</v>
      </c>
      <c r="I224" s="421">
        <f>Tabela3[[#This Row],[TOTAL DE ALUNOS ABAIXO DO BÁSICO]]/Tabela3[[#This Row],[TOTAL DE ALUNOS]]*100</f>
        <v>37.5</v>
      </c>
      <c r="J224" s="421">
        <f>Tabela3[[#This Row],[Abaixo do Básico]]*1</f>
        <v>37.5</v>
      </c>
      <c r="K224" s="421">
        <f>Tabela3[[#This Row],[TOTAL DE ALUNOS NO BÁSICO]]/Tabela3[[#This Row],[TOTAL DE ALUNOS]]*100</f>
        <v>37.5</v>
      </c>
      <c r="L224" s="421">
        <f>Tabela3[[#This Row],[Básico]]*2</f>
        <v>75</v>
      </c>
      <c r="M224" s="421">
        <f>Tabela3[[#This Row],[TOTAL DE ALUNOS ADEQUADO]]/Tabela3[[#This Row],[TOTAL DE ALUNOS]]*100</f>
        <v>21.875</v>
      </c>
      <c r="N224" s="421">
        <f>Tabela3[[#This Row],[Adequado]]*3</f>
        <v>65.625</v>
      </c>
      <c r="O224" s="421">
        <f>Tabela3[[#This Row],[TOTAL DE ALUNOS AVANÇADO]]/Tabela3[[#This Row],[TOTAL DE ALUNOS]]*100</f>
        <v>3.125</v>
      </c>
      <c r="P224" s="422">
        <f>Tabela3[[#This Row],[Avançado]]*4</f>
        <v>12.5</v>
      </c>
      <c r="Q224" s="422">
        <f t="shared" si="22"/>
        <v>190.625</v>
      </c>
      <c r="R224" s="423">
        <f>Tabela3[[#This Row],[Participação]]*100</f>
        <v>100</v>
      </c>
      <c r="S224" s="422">
        <f t="shared" si="23"/>
        <v>190.625</v>
      </c>
      <c r="T224" s="421">
        <f>Tabela3[[#This Row],[Meta 2024]]*0.65</f>
        <v>146.67679000000001</v>
      </c>
      <c r="U224" s="421">
        <v>225.6566</v>
      </c>
      <c r="V224" s="422">
        <f t="shared" si="24"/>
        <v>0.55644866707073615</v>
      </c>
      <c r="W224" s="424">
        <f t="shared" si="25"/>
        <v>0.55644866707073615</v>
      </c>
    </row>
    <row r="225" spans="1:23">
      <c r="A225" s="418">
        <v>289</v>
      </c>
      <c r="B225" s="419" t="s">
        <v>212</v>
      </c>
      <c r="C225" s="418">
        <v>30</v>
      </c>
      <c r="D225" s="418">
        <v>6</v>
      </c>
      <c r="E225" s="418">
        <v>19</v>
      </c>
      <c r="F225" s="418">
        <v>10</v>
      </c>
      <c r="G225" s="418">
        <f t="shared" si="21"/>
        <v>65</v>
      </c>
      <c r="H225" s="446">
        <v>0.91549999999999998</v>
      </c>
      <c r="I225" s="421">
        <f>Tabela3[[#This Row],[TOTAL DE ALUNOS ABAIXO DO BÁSICO]]/Tabela3[[#This Row],[TOTAL DE ALUNOS]]*100</f>
        <v>46.153846153846153</v>
      </c>
      <c r="J225" s="421">
        <f>Tabela3[[#This Row],[Abaixo do Básico]]*1</f>
        <v>46.153846153846153</v>
      </c>
      <c r="K225" s="421">
        <f>Tabela3[[#This Row],[TOTAL DE ALUNOS NO BÁSICO]]/Tabela3[[#This Row],[TOTAL DE ALUNOS]]*100</f>
        <v>9.2307692307692317</v>
      </c>
      <c r="L225" s="421">
        <f>Tabela3[[#This Row],[Básico]]*2</f>
        <v>18.461538461538463</v>
      </c>
      <c r="M225" s="421">
        <f>Tabela3[[#This Row],[TOTAL DE ALUNOS ADEQUADO]]/Tabela3[[#This Row],[TOTAL DE ALUNOS]]*100</f>
        <v>29.230769230769234</v>
      </c>
      <c r="N225" s="421">
        <f>Tabela3[[#This Row],[Adequado]]*3</f>
        <v>87.692307692307708</v>
      </c>
      <c r="O225" s="421">
        <f>Tabela3[[#This Row],[TOTAL DE ALUNOS AVANÇADO]]/Tabela3[[#This Row],[TOTAL DE ALUNOS]]*100</f>
        <v>15.384615384615385</v>
      </c>
      <c r="P225" s="422">
        <f>Tabela3[[#This Row],[Avançado]]*4</f>
        <v>61.53846153846154</v>
      </c>
      <c r="Q225" s="422">
        <f t="shared" si="22"/>
        <v>213.84615384615387</v>
      </c>
      <c r="R225" s="423">
        <f>Tabela3[[#This Row],[Participação]]*100</f>
        <v>91.55</v>
      </c>
      <c r="S225" s="422">
        <f t="shared" si="23"/>
        <v>213.84615384615387</v>
      </c>
      <c r="T225" s="421">
        <f>Tabela3[[#This Row],[Meta 2024]]*0.65</f>
        <v>118.77274500000001</v>
      </c>
      <c r="U225" s="421">
        <v>182.72730000000001</v>
      </c>
      <c r="V225" s="422">
        <f t="shared" si="24"/>
        <v>1.4865775994556425</v>
      </c>
      <c r="W225" s="424">
        <f t="shared" si="25"/>
        <v>1</v>
      </c>
    </row>
    <row r="226" spans="1:23">
      <c r="A226" s="418">
        <v>293</v>
      </c>
      <c r="B226" s="419" t="s">
        <v>17</v>
      </c>
      <c r="C226" s="418">
        <v>10</v>
      </c>
      <c r="D226" s="418">
        <v>5</v>
      </c>
      <c r="E226" s="418">
        <v>12</v>
      </c>
      <c r="F226" s="418">
        <v>36</v>
      </c>
      <c r="G226" s="418">
        <f t="shared" si="21"/>
        <v>63</v>
      </c>
      <c r="H226" s="446">
        <v>0.80769999999999997</v>
      </c>
      <c r="I226" s="420">
        <f>Tabela3[[#This Row],[TOTAL DE ALUNOS ABAIXO DO BÁSICO]]/Tabela3[[#This Row],[TOTAL DE ALUNOS]]*100</f>
        <v>15.873015873015872</v>
      </c>
      <c r="J226" s="421">
        <f>Tabela3[[#This Row],[Abaixo do Básico]]*1</f>
        <v>15.873015873015872</v>
      </c>
      <c r="K226" s="421">
        <f>Tabela3[[#This Row],[TOTAL DE ALUNOS NO BÁSICO]]/Tabela3[[#This Row],[TOTAL DE ALUNOS]]*100</f>
        <v>7.9365079365079358</v>
      </c>
      <c r="L226" s="421">
        <f>Tabela3[[#This Row],[Básico]]*2</f>
        <v>15.873015873015872</v>
      </c>
      <c r="M226" s="421">
        <f>Tabela3[[#This Row],[TOTAL DE ALUNOS ADEQUADO]]/Tabela3[[#This Row],[TOTAL DE ALUNOS]]*100</f>
        <v>19.047619047619047</v>
      </c>
      <c r="N226" s="421">
        <f>Tabela3[[#This Row],[Adequado]]*3</f>
        <v>57.142857142857139</v>
      </c>
      <c r="O226" s="421">
        <f>Tabela3[[#This Row],[TOTAL DE ALUNOS AVANÇADO]]/Tabela3[[#This Row],[TOTAL DE ALUNOS]]*100</f>
        <v>57.142857142857139</v>
      </c>
      <c r="P226" s="422">
        <f>Tabela3[[#This Row],[Avançado]]*4</f>
        <v>228.57142857142856</v>
      </c>
      <c r="Q226" s="422">
        <f t="shared" si="22"/>
        <v>317.46031746031747</v>
      </c>
      <c r="R226" s="423">
        <f>Tabela3[[#This Row],[Participação]]*100</f>
        <v>80.77</v>
      </c>
      <c r="S226" s="422">
        <f t="shared" si="23"/>
        <v>317.46031746031747</v>
      </c>
      <c r="T226" s="421">
        <f>Tabela3[[#This Row],[Meta 2024]]*0.65</f>
        <v>163.87514000000002</v>
      </c>
      <c r="U226" s="421">
        <v>252.1156</v>
      </c>
      <c r="V226" s="422">
        <f t="shared" si="24"/>
        <v>1.7405301089808176</v>
      </c>
      <c r="W226" s="424">
        <f t="shared" si="25"/>
        <v>1</v>
      </c>
    </row>
    <row r="227" spans="1:23">
      <c r="A227" s="418">
        <v>295</v>
      </c>
      <c r="B227" s="419" t="s">
        <v>11</v>
      </c>
      <c r="C227" s="418">
        <v>30</v>
      </c>
      <c r="D227" s="418">
        <v>21</v>
      </c>
      <c r="E227" s="418">
        <v>28</v>
      </c>
      <c r="F227" s="418">
        <v>28</v>
      </c>
      <c r="G227" s="425">
        <f t="shared" si="21"/>
        <v>107</v>
      </c>
      <c r="H227" s="446">
        <v>0.8992</v>
      </c>
      <c r="I227" s="421">
        <f>Tabela3[[#This Row],[TOTAL DE ALUNOS ABAIXO DO BÁSICO]]/Tabela3[[#This Row],[TOTAL DE ALUNOS]]*100</f>
        <v>28.037383177570092</v>
      </c>
      <c r="J227" s="421">
        <f>Tabela3[[#This Row],[Abaixo do Básico]]*1</f>
        <v>28.037383177570092</v>
      </c>
      <c r="K227" s="421">
        <f>Tabela3[[#This Row],[TOTAL DE ALUNOS NO BÁSICO]]/Tabela3[[#This Row],[TOTAL DE ALUNOS]]*100</f>
        <v>19.626168224299064</v>
      </c>
      <c r="L227" s="421">
        <f>Tabela3[[#This Row],[Básico]]*2</f>
        <v>39.252336448598129</v>
      </c>
      <c r="M227" s="421">
        <f>Tabela3[[#This Row],[TOTAL DE ALUNOS ADEQUADO]]/Tabela3[[#This Row],[TOTAL DE ALUNOS]]*100</f>
        <v>26.168224299065418</v>
      </c>
      <c r="N227" s="421">
        <f>Tabela3[[#This Row],[Adequado]]*3</f>
        <v>78.504672897196258</v>
      </c>
      <c r="O227" s="421">
        <f>Tabela3[[#This Row],[TOTAL DE ALUNOS AVANÇADO]]/Tabela3[[#This Row],[TOTAL DE ALUNOS]]*100</f>
        <v>26.168224299065418</v>
      </c>
      <c r="P227" s="422">
        <f>Tabela3[[#This Row],[Avançado]]*4</f>
        <v>104.67289719626167</v>
      </c>
      <c r="Q227" s="422">
        <f t="shared" si="22"/>
        <v>250.46728971962614</v>
      </c>
      <c r="R227" s="423">
        <f>Tabela3[[#This Row],[Participação]]*100</f>
        <v>89.92</v>
      </c>
      <c r="S227" s="422">
        <f t="shared" si="23"/>
        <v>250.46728971962614</v>
      </c>
      <c r="T227" s="421">
        <f>Tabela3[[#This Row],[Meta 2024]]*0.65</f>
        <v>165.07673</v>
      </c>
      <c r="U227" s="421">
        <v>253.96420000000001</v>
      </c>
      <c r="V227" s="422">
        <f t="shared" si="24"/>
        <v>0.9606591313671784</v>
      </c>
      <c r="W227" s="424">
        <f t="shared" si="25"/>
        <v>0.9606591313671784</v>
      </c>
    </row>
    <row r="228" spans="1:23">
      <c r="A228" s="447">
        <v>300</v>
      </c>
      <c r="B228" s="448" t="s">
        <v>223</v>
      </c>
      <c r="C228" s="447" t="s">
        <v>230</v>
      </c>
      <c r="D228" s="447" t="s">
        <v>230</v>
      </c>
      <c r="E228" s="447" t="s">
        <v>230</v>
      </c>
      <c r="F228" s="447" t="s">
        <v>230</v>
      </c>
      <c r="G228" s="447" t="s">
        <v>230</v>
      </c>
      <c r="H228" s="447" t="s">
        <v>230</v>
      </c>
      <c r="I228" s="447" t="s">
        <v>230</v>
      </c>
      <c r="J228" s="447" t="s">
        <v>230</v>
      </c>
      <c r="K228" s="447" t="s">
        <v>230</v>
      </c>
      <c r="L228" s="447" t="s">
        <v>230</v>
      </c>
      <c r="M228" s="447" t="s">
        <v>230</v>
      </c>
      <c r="N228" s="447" t="s">
        <v>230</v>
      </c>
      <c r="O228" s="447" t="s">
        <v>230</v>
      </c>
      <c r="P228" s="447" t="s">
        <v>230</v>
      </c>
      <c r="Q228" s="447" t="s">
        <v>230</v>
      </c>
      <c r="R228" s="447" t="s">
        <v>230</v>
      </c>
      <c r="S228" s="447" t="s">
        <v>230</v>
      </c>
      <c r="T228" s="447" t="s">
        <v>230</v>
      </c>
      <c r="U228" s="447" t="s">
        <v>230</v>
      </c>
      <c r="V228" s="447" t="s">
        <v>230</v>
      </c>
      <c r="W228" s="447"/>
    </row>
    <row r="229" spans="1:23">
      <c r="A229" s="447">
        <v>302</v>
      </c>
      <c r="B229" s="448" t="s">
        <v>229</v>
      </c>
      <c r="C229" s="447" t="s">
        <v>230</v>
      </c>
      <c r="D229" s="447" t="s">
        <v>230</v>
      </c>
      <c r="E229" s="447" t="s">
        <v>230</v>
      </c>
      <c r="F229" s="447" t="s">
        <v>230</v>
      </c>
      <c r="G229" s="447" t="s">
        <v>230</v>
      </c>
      <c r="H229" s="447" t="s">
        <v>230</v>
      </c>
      <c r="I229" s="447" t="s">
        <v>230</v>
      </c>
      <c r="J229" s="447" t="s">
        <v>230</v>
      </c>
      <c r="K229" s="447" t="s">
        <v>230</v>
      </c>
      <c r="L229" s="447" t="s">
        <v>230</v>
      </c>
      <c r="M229" s="447" t="s">
        <v>230</v>
      </c>
      <c r="N229" s="447" t="s">
        <v>230</v>
      </c>
      <c r="O229" s="447" t="s">
        <v>230</v>
      </c>
      <c r="P229" s="447" t="s">
        <v>230</v>
      </c>
      <c r="Q229" s="447" t="s">
        <v>230</v>
      </c>
      <c r="R229" s="447" t="s">
        <v>230</v>
      </c>
      <c r="S229" s="447" t="s">
        <v>230</v>
      </c>
      <c r="T229" s="447" t="s">
        <v>230</v>
      </c>
      <c r="U229" s="447" t="s">
        <v>230</v>
      </c>
      <c r="V229" s="447" t="s">
        <v>230</v>
      </c>
      <c r="W229" s="447"/>
    </row>
    <row r="230" spans="1:23">
      <c r="A230" s="447">
        <v>303</v>
      </c>
      <c r="B230" s="448" t="s">
        <v>569</v>
      </c>
      <c r="C230" s="447" t="s">
        <v>230</v>
      </c>
      <c r="D230" s="447" t="s">
        <v>230</v>
      </c>
      <c r="E230" s="447" t="s">
        <v>230</v>
      </c>
      <c r="F230" s="447" t="s">
        <v>230</v>
      </c>
      <c r="G230" s="447" t="s">
        <v>230</v>
      </c>
      <c r="H230" s="447" t="s">
        <v>230</v>
      </c>
      <c r="I230" s="447" t="s">
        <v>230</v>
      </c>
      <c r="J230" s="447" t="s">
        <v>230</v>
      </c>
      <c r="K230" s="447" t="s">
        <v>230</v>
      </c>
      <c r="L230" s="447" t="s">
        <v>230</v>
      </c>
      <c r="M230" s="447" t="s">
        <v>230</v>
      </c>
      <c r="N230" s="447" t="s">
        <v>230</v>
      </c>
      <c r="O230" s="447" t="s">
        <v>230</v>
      </c>
      <c r="P230" s="447" t="s">
        <v>230</v>
      </c>
      <c r="Q230" s="447" t="s">
        <v>230</v>
      </c>
      <c r="R230" s="447" t="s">
        <v>230</v>
      </c>
      <c r="S230" s="447" t="s">
        <v>230</v>
      </c>
      <c r="T230" s="447" t="s">
        <v>230</v>
      </c>
      <c r="U230" s="447" t="s">
        <v>230</v>
      </c>
      <c r="V230" s="447" t="s">
        <v>230</v>
      </c>
      <c r="W230" s="447"/>
    </row>
    <row r="231" spans="1:23">
      <c r="A231" s="447">
        <v>304</v>
      </c>
      <c r="B231" s="448" t="s">
        <v>232</v>
      </c>
      <c r="C231" s="447" t="s">
        <v>230</v>
      </c>
      <c r="D231" s="447" t="s">
        <v>230</v>
      </c>
      <c r="E231" s="447" t="s">
        <v>230</v>
      </c>
      <c r="F231" s="447" t="s">
        <v>230</v>
      </c>
      <c r="G231" s="447" t="s">
        <v>230</v>
      </c>
      <c r="H231" s="447" t="s">
        <v>230</v>
      </c>
      <c r="I231" s="447" t="s">
        <v>230</v>
      </c>
      <c r="J231" s="447" t="s">
        <v>230</v>
      </c>
      <c r="K231" s="447" t="s">
        <v>230</v>
      </c>
      <c r="L231" s="447" t="s">
        <v>230</v>
      </c>
      <c r="M231" s="447" t="s">
        <v>230</v>
      </c>
      <c r="N231" s="447" t="s">
        <v>230</v>
      </c>
      <c r="O231" s="447" t="s">
        <v>230</v>
      </c>
      <c r="P231" s="447" t="s">
        <v>230</v>
      </c>
      <c r="Q231" s="447" t="s">
        <v>230</v>
      </c>
      <c r="R231" s="447" t="s">
        <v>230</v>
      </c>
      <c r="S231" s="447" t="s">
        <v>230</v>
      </c>
      <c r="T231" s="447" t="s">
        <v>230</v>
      </c>
      <c r="U231" s="447" t="s">
        <v>230</v>
      </c>
      <c r="V231" s="447" t="s">
        <v>230</v>
      </c>
      <c r="W231" s="447"/>
    </row>
    <row r="232" spans="1:23">
      <c r="A232" s="447">
        <v>306</v>
      </c>
      <c r="B232" s="448" t="s">
        <v>570</v>
      </c>
      <c r="C232" s="447" t="s">
        <v>230</v>
      </c>
      <c r="D232" s="447" t="s">
        <v>230</v>
      </c>
      <c r="E232" s="447" t="s">
        <v>230</v>
      </c>
      <c r="F232" s="447" t="s">
        <v>230</v>
      </c>
      <c r="G232" s="447" t="s">
        <v>230</v>
      </c>
      <c r="H232" s="447" t="s">
        <v>230</v>
      </c>
      <c r="I232" s="447" t="s">
        <v>230</v>
      </c>
      <c r="J232" s="447" t="s">
        <v>230</v>
      </c>
      <c r="K232" s="447" t="s">
        <v>230</v>
      </c>
      <c r="L232" s="447" t="s">
        <v>230</v>
      </c>
      <c r="M232" s="447" t="s">
        <v>230</v>
      </c>
      <c r="N232" s="447" t="s">
        <v>230</v>
      </c>
      <c r="O232" s="447" t="s">
        <v>230</v>
      </c>
      <c r="P232" s="447" t="s">
        <v>230</v>
      </c>
      <c r="Q232" s="447" t="s">
        <v>230</v>
      </c>
      <c r="R232" s="447" t="s">
        <v>230</v>
      </c>
      <c r="S232" s="447" t="s">
        <v>230</v>
      </c>
      <c r="T232" s="447" t="s">
        <v>230</v>
      </c>
      <c r="U232" s="447" t="s">
        <v>230</v>
      </c>
      <c r="V232" s="447" t="s">
        <v>230</v>
      </c>
      <c r="W232" s="447"/>
    </row>
  </sheetData>
  <pageMargins left="0.511811024" right="0.511811024" top="0.78740157499999996" bottom="0.78740157499999996" header="0.31496062000000002" footer="0.31496062000000002"/>
  <tableParts count="2">
    <tablePart r:id="rId1"/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E6FB9-5F66-4EFF-9FC9-D210E4B11B44}">
  <sheetPr>
    <tabColor theme="5" tint="-0.249977111117893"/>
  </sheetPr>
  <dimension ref="A1:AA232"/>
  <sheetViews>
    <sheetView showGridLines="0" topLeftCell="F4" zoomScale="85" zoomScaleNormal="85" workbookViewId="0">
      <selection activeCell="X10" sqref="X10"/>
    </sheetView>
  </sheetViews>
  <sheetFormatPr defaultRowHeight="15.75"/>
  <cols>
    <col min="1" max="1" width="13.7109375" style="234" bestFit="1" customWidth="1"/>
    <col min="2" max="2" width="50.85546875" style="234" bestFit="1" customWidth="1"/>
    <col min="3" max="5" width="9.28515625" style="234" bestFit="1" customWidth="1"/>
    <col min="6" max="6" width="30" style="234" customWidth="1"/>
    <col min="7" max="7" width="21.85546875" style="234" customWidth="1"/>
    <col min="8" max="8" width="15.5703125" style="234" customWidth="1"/>
    <col min="9" max="9" width="20.42578125" style="234" customWidth="1"/>
    <col min="10" max="10" width="14.85546875" style="234" customWidth="1"/>
    <col min="11" max="11" width="16.7109375" style="234" customWidth="1"/>
    <col min="12" max="12" width="17.140625" style="234" customWidth="1"/>
    <col min="13" max="13" width="12.7109375" style="234" customWidth="1"/>
    <col min="14" max="14" width="16.85546875" style="234" customWidth="1"/>
    <col min="15" max="15" width="15.140625" style="234" customWidth="1"/>
    <col min="16" max="16" width="15.7109375" style="234" customWidth="1"/>
    <col min="17" max="17" width="14.5703125" style="234" customWidth="1"/>
    <col min="18" max="18" width="15.7109375" style="234" customWidth="1"/>
    <col min="19" max="19" width="18.7109375" style="234" customWidth="1"/>
    <col min="20" max="20" width="12.5703125" style="234" customWidth="1"/>
    <col min="21" max="21" width="10" style="234" bestFit="1" customWidth="1"/>
    <col min="22" max="22" width="9.28515625" style="234" bestFit="1" customWidth="1"/>
    <col min="23" max="23" width="17.42578125" style="234" customWidth="1"/>
    <col min="24" max="24" width="9.140625" style="234"/>
    <col min="25" max="25" width="13.140625" style="234" customWidth="1"/>
    <col min="26" max="26" width="9.28515625" style="234" bestFit="1" customWidth="1"/>
    <col min="27" max="27" width="9.42578125" style="234" bestFit="1" customWidth="1"/>
    <col min="28" max="16384" width="9.140625" style="234"/>
  </cols>
  <sheetData>
    <row r="1" spans="1:27">
      <c r="A1" s="414" t="s">
        <v>553</v>
      </c>
      <c r="B1" s="414">
        <v>50</v>
      </c>
    </row>
    <row r="2" spans="1:27">
      <c r="A2" s="414" t="s">
        <v>554</v>
      </c>
      <c r="B2" s="414">
        <v>15</v>
      </c>
    </row>
    <row r="4" spans="1:27" ht="94.5">
      <c r="A4" s="449" t="s">
        <v>555</v>
      </c>
      <c r="B4" s="449" t="s">
        <v>227</v>
      </c>
      <c r="C4" s="450" t="s">
        <v>599</v>
      </c>
      <c r="D4" s="450" t="s">
        <v>600</v>
      </c>
      <c r="E4" s="450" t="s">
        <v>601</v>
      </c>
      <c r="F4" s="450" t="s">
        <v>602</v>
      </c>
      <c r="G4" s="450" t="s">
        <v>556</v>
      </c>
      <c r="H4" s="450" t="s">
        <v>553</v>
      </c>
      <c r="I4" s="449" t="s">
        <v>557</v>
      </c>
      <c r="J4" s="449" t="s">
        <v>558</v>
      </c>
      <c r="K4" s="449" t="s">
        <v>559</v>
      </c>
      <c r="L4" s="449" t="s">
        <v>560</v>
      </c>
      <c r="M4" s="449" t="s">
        <v>561</v>
      </c>
      <c r="N4" s="449" t="s">
        <v>562</v>
      </c>
      <c r="O4" s="449" t="s">
        <v>563</v>
      </c>
      <c r="P4" s="449" t="s">
        <v>564</v>
      </c>
      <c r="Q4" s="451" t="s">
        <v>565</v>
      </c>
      <c r="R4" s="451" t="s">
        <v>566</v>
      </c>
      <c r="S4" s="451" t="s">
        <v>603</v>
      </c>
      <c r="T4" s="451" t="s">
        <v>654</v>
      </c>
      <c r="U4" s="451" t="s">
        <v>682</v>
      </c>
      <c r="V4" s="416" t="s">
        <v>721</v>
      </c>
      <c r="W4" s="416" t="s">
        <v>722</v>
      </c>
    </row>
    <row r="5" spans="1:27">
      <c r="A5" s="452">
        <v>6</v>
      </c>
      <c r="B5" s="453" t="s">
        <v>160</v>
      </c>
      <c r="C5" s="418">
        <v>135</v>
      </c>
      <c r="D5" s="418">
        <v>117</v>
      </c>
      <c r="E5" s="418">
        <v>126</v>
      </c>
      <c r="F5" s="418">
        <v>89</v>
      </c>
      <c r="G5" s="454">
        <f>SUM(C5,D5,E5,F5)</f>
        <v>467</v>
      </c>
      <c r="H5" s="420">
        <v>0.92479999999999996</v>
      </c>
      <c r="I5" s="421">
        <f>Tabela317[[#This Row],[TOTAL ALUNOS ABAIXO DO BASICO]]/Tabela317[[#This Row],[TOTAL DE ALUNOS]]*100</f>
        <v>28.907922912205571</v>
      </c>
      <c r="J5" s="421">
        <f>Tabela317[[#This Row],[Abaixo do Básico]]*1</f>
        <v>28.907922912205571</v>
      </c>
      <c r="K5" s="421">
        <f>Tabela317[[#This Row],[TOTAL ALUNOS DO BASICO]]/Tabela317[[#This Row],[TOTAL DE ALUNOS]]*100</f>
        <v>25.053533190578158</v>
      </c>
      <c r="L5" s="421">
        <f>Tabela317[[#This Row],[Básico]]*2</f>
        <v>50.107066381156315</v>
      </c>
      <c r="M5" s="421">
        <f>Tabela317[[#This Row],[TOTAL ALUNOS ADEQUADO]]/Tabela317[[#This Row],[TOTAL DE ALUNOS]]*100</f>
        <v>26.980728051391861</v>
      </c>
      <c r="N5" s="421">
        <f>Tabela317[[#This Row],[Adequado]]*3</f>
        <v>80.942184154175578</v>
      </c>
      <c r="O5" s="421">
        <f>Tabela317[[#This Row],[TOTAL DE ALUNOS AVANÇADO]]/Tabela317[[#This Row],[TOTAL DE ALUNOS]]*100</f>
        <v>19.057815845824411</v>
      </c>
      <c r="P5" s="421">
        <f>Tabela317[[#This Row],[Avançado]]*4</f>
        <v>76.231263383297645</v>
      </c>
      <c r="Q5" s="421">
        <f>SUM(J5,L5,N5,P5)</f>
        <v>236.18843683083509</v>
      </c>
      <c r="R5" s="455">
        <f>Tabela317[[#This Row],[Participação]]*100</f>
        <v>92.47999999999999</v>
      </c>
      <c r="S5" s="422">
        <f>IF(R5&gt;=$B$1,Q5,(R5*Q5)/100)</f>
        <v>236.18843683083509</v>
      </c>
      <c r="T5" s="422">
        <f>Tabela317[[#This Row],[META 2024]]*0.65</f>
        <v>154.062285</v>
      </c>
      <c r="U5" s="421">
        <v>237.0189</v>
      </c>
      <c r="V5" s="422">
        <f t="shared" ref="V5:V68" si="0">1-(U5-S5)/(U5-T5)</f>
        <v>0.98998918688805093</v>
      </c>
      <c r="W5" s="422">
        <f t="shared" ref="W5" si="1">IF(V5&lt;0,0,IF(V5&lt;=1,V5,1))</f>
        <v>0.98998918688805093</v>
      </c>
      <c r="Y5" s="230" t="s">
        <v>723</v>
      </c>
      <c r="Z5" s="230" t="s">
        <v>724</v>
      </c>
      <c r="AA5" s="303" t="s">
        <v>636</v>
      </c>
    </row>
    <row r="6" spans="1:27">
      <c r="A6" s="456">
        <v>7</v>
      </c>
      <c r="B6" s="457" t="s">
        <v>680</v>
      </c>
      <c r="C6" s="418">
        <v>29</v>
      </c>
      <c r="D6" s="418">
        <v>39</v>
      </c>
      <c r="E6" s="418">
        <v>70</v>
      </c>
      <c r="F6" s="418">
        <v>70</v>
      </c>
      <c r="G6" s="454">
        <f t="shared" ref="G6:G69" si="2">SUM(C6,D6,E6,F6)</f>
        <v>208</v>
      </c>
      <c r="H6" s="420">
        <v>0.9083</v>
      </c>
      <c r="I6" s="421">
        <f>Tabela317[[#This Row],[TOTAL ALUNOS ABAIXO DO BASICO]]/Tabela317[[#This Row],[TOTAL DE ALUNOS]]*100</f>
        <v>13.942307692307693</v>
      </c>
      <c r="J6" s="421">
        <f>Tabela317[[#This Row],[Abaixo do Básico]]*1</f>
        <v>13.942307692307693</v>
      </c>
      <c r="K6" s="421">
        <f>Tabela317[[#This Row],[TOTAL ALUNOS DO BASICO]]/Tabela317[[#This Row],[TOTAL DE ALUNOS]]*100</f>
        <v>18.75</v>
      </c>
      <c r="L6" s="421">
        <f>Tabela317[[#This Row],[Básico]]*2</f>
        <v>37.5</v>
      </c>
      <c r="M6" s="421">
        <f>Tabela317[[#This Row],[TOTAL ALUNOS ADEQUADO]]/Tabela317[[#This Row],[TOTAL DE ALUNOS]]*100</f>
        <v>33.653846153846153</v>
      </c>
      <c r="N6" s="421">
        <f>Tabela317[[#This Row],[Adequado]]*3</f>
        <v>100.96153846153845</v>
      </c>
      <c r="O6" s="421">
        <f>Tabela317[[#This Row],[TOTAL DE ALUNOS AVANÇADO]]/Tabela317[[#This Row],[TOTAL DE ALUNOS]]*100</f>
        <v>33.653846153846153</v>
      </c>
      <c r="P6" s="421">
        <f>Tabela317[[#This Row],[Avançado]]*4</f>
        <v>134.61538461538461</v>
      </c>
      <c r="Q6" s="421">
        <f t="shared" ref="Q6:Q69" si="3">SUM(J6,L6,N6,P6)</f>
        <v>287.01923076923072</v>
      </c>
      <c r="R6" s="455">
        <f>Tabela317[[#This Row],[Participação]]*100</f>
        <v>90.83</v>
      </c>
      <c r="S6" s="422">
        <f t="shared" ref="S6:S69" si="4">IF(R6&gt;=$B$1,Q6,(R6*Q6)/100)</f>
        <v>287.01923076923072</v>
      </c>
      <c r="T6" s="422">
        <f>Tabela317[[#This Row],[META 2024]]*0.65</f>
        <v>191.37501499999999</v>
      </c>
      <c r="U6" s="421">
        <v>294.42309999999998</v>
      </c>
      <c r="V6" s="422">
        <f t="shared" si="0"/>
        <v>0.92815131663272288</v>
      </c>
      <c r="W6" s="422">
        <f>IF(V6&lt;0,0,IF(V6&lt;=1,V6,1))</f>
        <v>0.92815131663272288</v>
      </c>
      <c r="Y6" s="311">
        <v>1</v>
      </c>
      <c r="Z6" s="312">
        <f>COUNTIF(Tabela317[[ICM ]], "=1")</f>
        <v>78</v>
      </c>
      <c r="AA6" s="313">
        <f>Z6/$Z$15</f>
        <v>0.34210526315789475</v>
      </c>
    </row>
    <row r="7" spans="1:27">
      <c r="A7" s="456">
        <v>8</v>
      </c>
      <c r="B7" s="457" t="s">
        <v>60</v>
      </c>
      <c r="C7" s="418">
        <v>41</v>
      </c>
      <c r="D7" s="418">
        <v>71</v>
      </c>
      <c r="E7" s="418">
        <v>77</v>
      </c>
      <c r="F7" s="418">
        <v>75</v>
      </c>
      <c r="G7" s="454">
        <f t="shared" si="2"/>
        <v>264</v>
      </c>
      <c r="H7" s="420">
        <v>0.88890000000000002</v>
      </c>
      <c r="I7" s="421">
        <f>Tabela317[[#This Row],[TOTAL ALUNOS ABAIXO DO BASICO]]/Tabela317[[#This Row],[TOTAL DE ALUNOS]]*100</f>
        <v>15.530303030303031</v>
      </c>
      <c r="J7" s="421">
        <f>Tabela317[[#This Row],[Abaixo do Básico]]*1</f>
        <v>15.530303030303031</v>
      </c>
      <c r="K7" s="421">
        <f>Tabela317[[#This Row],[TOTAL ALUNOS DO BASICO]]/Tabela317[[#This Row],[TOTAL DE ALUNOS]]*100</f>
        <v>26.893939393939391</v>
      </c>
      <c r="L7" s="421">
        <f>Tabela317[[#This Row],[Básico]]*2</f>
        <v>53.787878787878782</v>
      </c>
      <c r="M7" s="421">
        <f>Tabela317[[#This Row],[TOTAL ALUNOS ADEQUADO]]/Tabela317[[#This Row],[TOTAL DE ALUNOS]]*100</f>
        <v>29.166666666666668</v>
      </c>
      <c r="N7" s="421">
        <f>Tabela317[[#This Row],[Adequado]]*3</f>
        <v>87.5</v>
      </c>
      <c r="O7" s="421">
        <f>Tabela317[[#This Row],[TOTAL DE ALUNOS AVANÇADO]]/Tabela317[[#This Row],[TOTAL DE ALUNOS]]*100</f>
        <v>28.40909090909091</v>
      </c>
      <c r="P7" s="421">
        <f>Tabela317[[#This Row],[Avançado]]*4</f>
        <v>113.63636363636364</v>
      </c>
      <c r="Q7" s="421">
        <f t="shared" si="3"/>
        <v>270.45454545454544</v>
      </c>
      <c r="R7" s="455">
        <f>Tabela317[[#This Row],[Participação]]*100</f>
        <v>88.89</v>
      </c>
      <c r="S7" s="422">
        <f t="shared" si="4"/>
        <v>270.45454545454544</v>
      </c>
      <c r="T7" s="422">
        <f>Tabela317[[#This Row],[META 2024]]*0.65</f>
        <v>195.68984500000002</v>
      </c>
      <c r="U7" s="421">
        <v>301.06130000000002</v>
      </c>
      <c r="V7" s="422">
        <f t="shared" si="0"/>
        <v>0.70953466908609575</v>
      </c>
      <c r="W7" s="422">
        <f>IF(V7&lt;0,0,IF(V7&lt;=1,V7,1))</f>
        <v>0.70953466908609575</v>
      </c>
      <c r="Y7" s="303" t="s">
        <v>725</v>
      </c>
      <c r="Z7" s="312">
        <f>COUNTIFS(Tabela317[[ICM ]], "&gt;=0,9",Tabela317[[ICM ]], "&lt;1")</f>
        <v>46</v>
      </c>
      <c r="AA7" s="313">
        <f t="shared" ref="AA7:AA14" si="5">Z7/$Z$15</f>
        <v>0.20175438596491227</v>
      </c>
    </row>
    <row r="8" spans="1:27">
      <c r="A8" s="456">
        <v>9</v>
      </c>
      <c r="B8" s="457" t="s">
        <v>57</v>
      </c>
      <c r="C8" s="418">
        <v>69</v>
      </c>
      <c r="D8" s="418">
        <v>43</v>
      </c>
      <c r="E8" s="418">
        <v>38</v>
      </c>
      <c r="F8" s="418">
        <v>22</v>
      </c>
      <c r="G8" s="454">
        <f t="shared" si="2"/>
        <v>172</v>
      </c>
      <c r="H8" s="420">
        <v>0.83499999999999996</v>
      </c>
      <c r="I8" s="421">
        <f>Tabela317[[#This Row],[TOTAL ALUNOS ABAIXO DO BASICO]]/Tabela317[[#This Row],[TOTAL DE ALUNOS]]*100</f>
        <v>40.116279069767444</v>
      </c>
      <c r="J8" s="421">
        <f>Tabela317[[#This Row],[Abaixo do Básico]]*1</f>
        <v>40.116279069767444</v>
      </c>
      <c r="K8" s="421">
        <f>Tabela317[[#This Row],[TOTAL ALUNOS DO BASICO]]/Tabela317[[#This Row],[TOTAL DE ALUNOS]]*100</f>
        <v>25</v>
      </c>
      <c r="L8" s="421">
        <f>Tabela317[[#This Row],[Básico]]*2</f>
        <v>50</v>
      </c>
      <c r="M8" s="421">
        <f>Tabela317[[#This Row],[TOTAL ALUNOS ADEQUADO]]/Tabela317[[#This Row],[TOTAL DE ALUNOS]]*100</f>
        <v>22.093023255813954</v>
      </c>
      <c r="N8" s="421">
        <f>Tabela317[[#This Row],[Adequado]]*3</f>
        <v>66.279069767441854</v>
      </c>
      <c r="O8" s="421">
        <f>Tabela317[[#This Row],[TOTAL DE ALUNOS AVANÇADO]]/Tabela317[[#This Row],[TOTAL DE ALUNOS]]*100</f>
        <v>12.790697674418606</v>
      </c>
      <c r="P8" s="421">
        <f>Tabela317[[#This Row],[Avançado]]*4</f>
        <v>51.162790697674424</v>
      </c>
      <c r="Q8" s="421">
        <f t="shared" si="3"/>
        <v>207.55813953488371</v>
      </c>
      <c r="R8" s="455">
        <f>Tabela317[[#This Row],[Participação]]*100</f>
        <v>83.5</v>
      </c>
      <c r="S8" s="422">
        <f t="shared" si="4"/>
        <v>207.55813953488371</v>
      </c>
      <c r="T8" s="422">
        <f>Tabela317[[#This Row],[META 2024]]*0.65</f>
        <v>143.82868500000001</v>
      </c>
      <c r="U8" s="421">
        <v>221.2749</v>
      </c>
      <c r="V8" s="422">
        <f t="shared" si="0"/>
        <v>0.82288662570383464</v>
      </c>
      <c r="W8" s="422">
        <f t="shared" ref="W8:W71" si="6">IF(V8&lt;0,0,IF(V8&lt;=1,V8,1))</f>
        <v>0.82288662570383464</v>
      </c>
      <c r="Y8" s="303" t="s">
        <v>726</v>
      </c>
      <c r="Z8" s="312">
        <f>COUNTIFS(Tabela317[[ICM ]], "&gt;=0,8", Tabela317[[ICM ]], "&lt;0,9")</f>
        <v>48</v>
      </c>
      <c r="AA8" s="313">
        <f t="shared" si="5"/>
        <v>0.21052631578947367</v>
      </c>
    </row>
    <row r="9" spans="1:27">
      <c r="A9" s="456">
        <v>10</v>
      </c>
      <c r="B9" s="457" t="s">
        <v>39</v>
      </c>
      <c r="C9" s="418">
        <v>101</v>
      </c>
      <c r="D9" s="418">
        <v>146</v>
      </c>
      <c r="E9" s="418">
        <v>156</v>
      </c>
      <c r="F9" s="418">
        <v>134</v>
      </c>
      <c r="G9" s="454">
        <f t="shared" si="2"/>
        <v>537</v>
      </c>
      <c r="H9" s="420">
        <v>0.90710000000000002</v>
      </c>
      <c r="I9" s="421">
        <f>Tabela317[[#This Row],[TOTAL ALUNOS ABAIXO DO BASICO]]/Tabela317[[#This Row],[TOTAL DE ALUNOS]]*100</f>
        <v>18.808193668528865</v>
      </c>
      <c r="J9" s="421">
        <f>Tabela317[[#This Row],[Abaixo do Básico]]*1</f>
        <v>18.808193668528865</v>
      </c>
      <c r="K9" s="421">
        <f>Tabela317[[#This Row],[TOTAL ALUNOS DO BASICO]]/Tabela317[[#This Row],[TOTAL DE ALUNOS]]*100</f>
        <v>27.188081936685286</v>
      </c>
      <c r="L9" s="421">
        <f>Tabela317[[#This Row],[Básico]]*2</f>
        <v>54.376163873370572</v>
      </c>
      <c r="M9" s="421">
        <f>Tabela317[[#This Row],[TOTAL ALUNOS ADEQUADO]]/Tabela317[[#This Row],[TOTAL DE ALUNOS]]*100</f>
        <v>29.050279329608941</v>
      </c>
      <c r="N9" s="421">
        <f>Tabela317[[#This Row],[Adequado]]*3</f>
        <v>87.150837988826822</v>
      </c>
      <c r="O9" s="421">
        <f>Tabela317[[#This Row],[TOTAL DE ALUNOS AVANÇADO]]/Tabela317[[#This Row],[TOTAL DE ALUNOS]]*100</f>
        <v>24.953445065176908</v>
      </c>
      <c r="P9" s="421">
        <f>Tabela317[[#This Row],[Avançado]]*4</f>
        <v>99.813780260707631</v>
      </c>
      <c r="Q9" s="421">
        <f t="shared" si="3"/>
        <v>260.14897579143388</v>
      </c>
      <c r="R9" s="455">
        <f>Tabela317[[#This Row],[Participação]]*100</f>
        <v>90.710000000000008</v>
      </c>
      <c r="S9" s="422">
        <f t="shared" si="4"/>
        <v>260.14897579143388</v>
      </c>
      <c r="T9" s="422">
        <f>Tabela317[[#This Row],[META 2024]]*0.65</f>
        <v>168.23046500000001</v>
      </c>
      <c r="U9" s="421">
        <v>258.81610000000001</v>
      </c>
      <c r="V9" s="422">
        <f t="shared" si="0"/>
        <v>1.0147139862897012</v>
      </c>
      <c r="W9" s="422">
        <f t="shared" si="6"/>
        <v>1</v>
      </c>
      <c r="Y9" s="303" t="s">
        <v>727</v>
      </c>
      <c r="Z9" s="312">
        <f>COUNTIFS(Tabela317[[ICM ]], "&gt;=0,7",Tabela317[[ICM ]], "&lt;0,8")</f>
        <v>25</v>
      </c>
      <c r="AA9" s="313">
        <f t="shared" si="5"/>
        <v>0.10964912280701754</v>
      </c>
    </row>
    <row r="10" spans="1:27">
      <c r="A10" s="456">
        <v>11</v>
      </c>
      <c r="B10" s="457" t="s">
        <v>159</v>
      </c>
      <c r="C10" s="418">
        <v>79</v>
      </c>
      <c r="D10" s="418">
        <v>89</v>
      </c>
      <c r="E10" s="418">
        <v>85</v>
      </c>
      <c r="F10" s="418">
        <v>51</v>
      </c>
      <c r="G10" s="454">
        <f t="shared" si="2"/>
        <v>304</v>
      </c>
      <c r="H10" s="420">
        <v>0.87609999999999999</v>
      </c>
      <c r="I10" s="421">
        <f>Tabela317[[#This Row],[TOTAL ALUNOS ABAIXO DO BASICO]]/Tabela317[[#This Row],[TOTAL DE ALUNOS]]*100</f>
        <v>25.986842105263158</v>
      </c>
      <c r="J10" s="421">
        <f>Tabela317[[#This Row],[Abaixo do Básico]]*1</f>
        <v>25.986842105263158</v>
      </c>
      <c r="K10" s="421">
        <f>Tabela317[[#This Row],[TOTAL ALUNOS DO BASICO]]/Tabela317[[#This Row],[TOTAL DE ALUNOS]]*100</f>
        <v>29.276315789473685</v>
      </c>
      <c r="L10" s="421">
        <f>Tabela317[[#This Row],[Básico]]*2</f>
        <v>58.55263157894737</v>
      </c>
      <c r="M10" s="421">
        <f>Tabela317[[#This Row],[TOTAL ALUNOS ADEQUADO]]/Tabela317[[#This Row],[TOTAL DE ALUNOS]]*100</f>
        <v>27.960526315789476</v>
      </c>
      <c r="N10" s="421">
        <f>Tabela317[[#This Row],[Adequado]]*3</f>
        <v>83.881578947368425</v>
      </c>
      <c r="O10" s="421">
        <f>Tabela317[[#This Row],[TOTAL DE ALUNOS AVANÇADO]]/Tabela317[[#This Row],[TOTAL DE ALUNOS]]*100</f>
        <v>16.776315789473685</v>
      </c>
      <c r="P10" s="421">
        <f>Tabela317[[#This Row],[Avançado]]*4</f>
        <v>67.10526315789474</v>
      </c>
      <c r="Q10" s="421">
        <f t="shared" si="3"/>
        <v>235.5263157894737</v>
      </c>
      <c r="R10" s="455">
        <f>Tabela317[[#This Row],[Participação]]*100</f>
        <v>87.61</v>
      </c>
      <c r="S10" s="422">
        <f t="shared" si="4"/>
        <v>235.5263157894737</v>
      </c>
      <c r="T10" s="422">
        <f>Tabela317[[#This Row],[META 2024]]*0.65</f>
        <v>163.63412</v>
      </c>
      <c r="U10" s="421">
        <v>251.7448</v>
      </c>
      <c r="V10" s="422">
        <f t="shared" si="0"/>
        <v>0.81593055222674149</v>
      </c>
      <c r="W10" s="422">
        <f t="shared" si="6"/>
        <v>0.81593055222674149</v>
      </c>
      <c r="Y10" s="303" t="s">
        <v>728</v>
      </c>
      <c r="Z10" s="312">
        <f>COUNTIFS(Tabela317[[ICM ]], "&gt;=0,6", Tabela317[[ICM ]], "&lt;0,7")</f>
        <v>18</v>
      </c>
      <c r="AA10" s="313">
        <f t="shared" si="5"/>
        <v>7.8947368421052627E-2</v>
      </c>
    </row>
    <row r="11" spans="1:27">
      <c r="A11" s="456">
        <v>12</v>
      </c>
      <c r="B11" s="457" t="s">
        <v>66</v>
      </c>
      <c r="C11" s="418">
        <v>93</v>
      </c>
      <c r="D11" s="418">
        <v>94</v>
      </c>
      <c r="E11" s="418">
        <v>150</v>
      </c>
      <c r="F11" s="418">
        <v>90</v>
      </c>
      <c r="G11" s="454">
        <f t="shared" si="2"/>
        <v>427</v>
      </c>
      <c r="H11" s="420">
        <v>0.90469999999999995</v>
      </c>
      <c r="I11" s="421">
        <f>Tabela317[[#This Row],[TOTAL ALUNOS ABAIXO DO BASICO]]/Tabela317[[#This Row],[TOTAL DE ALUNOS]]*100</f>
        <v>21.779859484777518</v>
      </c>
      <c r="J11" s="421">
        <f>Tabela317[[#This Row],[Abaixo do Básico]]*1</f>
        <v>21.779859484777518</v>
      </c>
      <c r="K11" s="421">
        <f>Tabela317[[#This Row],[TOTAL ALUNOS DO BASICO]]/Tabela317[[#This Row],[TOTAL DE ALUNOS]]*100</f>
        <v>22.014051522248241</v>
      </c>
      <c r="L11" s="421">
        <f>Tabela317[[#This Row],[Básico]]*2</f>
        <v>44.028103044496483</v>
      </c>
      <c r="M11" s="421">
        <f>Tabela317[[#This Row],[TOTAL ALUNOS ADEQUADO]]/Tabela317[[#This Row],[TOTAL DE ALUNOS]]*100</f>
        <v>35.128805620608901</v>
      </c>
      <c r="N11" s="421">
        <f>Tabela317[[#This Row],[Adequado]]*3</f>
        <v>105.3864168618267</v>
      </c>
      <c r="O11" s="421">
        <f>Tabela317[[#This Row],[TOTAL DE ALUNOS AVANÇADO]]/Tabela317[[#This Row],[TOTAL DE ALUNOS]]*100</f>
        <v>21.07728337236534</v>
      </c>
      <c r="P11" s="421">
        <f>Tabela317[[#This Row],[Avançado]]*4</f>
        <v>84.30913348946136</v>
      </c>
      <c r="Q11" s="421">
        <f t="shared" si="3"/>
        <v>255.50351288056208</v>
      </c>
      <c r="R11" s="455">
        <f>Tabela317[[#This Row],[Participação]]*100</f>
        <v>90.47</v>
      </c>
      <c r="S11" s="422">
        <f t="shared" si="4"/>
        <v>255.50351288056208</v>
      </c>
      <c r="T11" s="422">
        <f>Tabela317[[#This Row],[META 2024]]*0.65</f>
        <v>163.45043000000001</v>
      </c>
      <c r="U11" s="421">
        <v>251.4622</v>
      </c>
      <c r="V11" s="422">
        <f t="shared" si="0"/>
        <v>1.0459178684914767</v>
      </c>
      <c r="W11" s="422">
        <f t="shared" si="6"/>
        <v>1</v>
      </c>
      <c r="Y11" s="303" t="s">
        <v>729</v>
      </c>
      <c r="Z11" s="312">
        <f>COUNTIFS(Tabela317[[ICM ]], "&gt;=0,5",Tabela317[[ICM ]], "&lt;0,6")</f>
        <v>4</v>
      </c>
      <c r="AA11" s="313">
        <f t="shared" si="5"/>
        <v>1.7543859649122806E-2</v>
      </c>
    </row>
    <row r="12" spans="1:27">
      <c r="A12" s="456">
        <v>13</v>
      </c>
      <c r="B12" s="457" t="s">
        <v>100</v>
      </c>
      <c r="C12" s="418">
        <v>74</v>
      </c>
      <c r="D12" s="418">
        <v>97</v>
      </c>
      <c r="E12" s="418">
        <v>139</v>
      </c>
      <c r="F12" s="418">
        <v>112</v>
      </c>
      <c r="G12" s="454">
        <f t="shared" si="2"/>
        <v>422</v>
      </c>
      <c r="H12" s="420">
        <v>0.93159999999999998</v>
      </c>
      <c r="I12" s="421">
        <f>Tabela317[[#This Row],[TOTAL ALUNOS ABAIXO DO BASICO]]/Tabela317[[#This Row],[TOTAL DE ALUNOS]]*100</f>
        <v>17.535545023696685</v>
      </c>
      <c r="J12" s="421">
        <f>Tabela317[[#This Row],[Abaixo do Básico]]*1</f>
        <v>17.535545023696685</v>
      </c>
      <c r="K12" s="421">
        <f>Tabela317[[#This Row],[TOTAL ALUNOS DO BASICO]]/Tabela317[[#This Row],[TOTAL DE ALUNOS]]*100</f>
        <v>22.985781990521325</v>
      </c>
      <c r="L12" s="421">
        <f>Tabela317[[#This Row],[Básico]]*2</f>
        <v>45.97156398104265</v>
      </c>
      <c r="M12" s="421">
        <f>Tabela317[[#This Row],[TOTAL ALUNOS ADEQUADO]]/Tabela317[[#This Row],[TOTAL DE ALUNOS]]*100</f>
        <v>32.938388625592417</v>
      </c>
      <c r="N12" s="421">
        <f>Tabela317[[#This Row],[Adequado]]*3</f>
        <v>98.815165876777257</v>
      </c>
      <c r="O12" s="421">
        <f>Tabela317[[#This Row],[TOTAL DE ALUNOS AVANÇADO]]/Tabela317[[#This Row],[TOTAL DE ALUNOS]]*100</f>
        <v>26.540284360189574</v>
      </c>
      <c r="P12" s="421">
        <f>Tabela317[[#This Row],[Avançado]]*4</f>
        <v>106.1611374407583</v>
      </c>
      <c r="Q12" s="421">
        <f t="shared" si="3"/>
        <v>268.48341232227489</v>
      </c>
      <c r="R12" s="455">
        <f>Tabela317[[#This Row],[Participação]]*100</f>
        <v>93.16</v>
      </c>
      <c r="S12" s="422">
        <f t="shared" si="4"/>
        <v>268.48341232227489</v>
      </c>
      <c r="T12" s="422">
        <f>Tabela317[[#This Row],[META 2024]]*0.65</f>
        <v>176.93318500000001</v>
      </c>
      <c r="U12" s="421">
        <v>272.20490000000001</v>
      </c>
      <c r="V12" s="422">
        <f t="shared" si="0"/>
        <v>0.96093816850336822</v>
      </c>
      <c r="W12" s="422">
        <f t="shared" si="6"/>
        <v>0.96093816850336822</v>
      </c>
      <c r="Y12" s="303" t="s">
        <v>730</v>
      </c>
      <c r="Z12" s="312">
        <f>COUNTIFS(Tabela317[[ICM ]], "&gt;=0,4", Tabela317[[ICM ]], "&lt;0,5")</f>
        <v>2</v>
      </c>
      <c r="AA12" s="313">
        <f t="shared" si="5"/>
        <v>8.771929824561403E-3</v>
      </c>
    </row>
    <row r="13" spans="1:27">
      <c r="A13" s="456">
        <v>14</v>
      </c>
      <c r="B13" s="457" t="s">
        <v>61</v>
      </c>
      <c r="C13" s="418">
        <v>33</v>
      </c>
      <c r="D13" s="418">
        <v>54</v>
      </c>
      <c r="E13" s="418">
        <v>119</v>
      </c>
      <c r="F13" s="418">
        <v>75</v>
      </c>
      <c r="G13" s="454">
        <f t="shared" si="2"/>
        <v>281</v>
      </c>
      <c r="H13" s="420">
        <v>0.95579999999999998</v>
      </c>
      <c r="I13" s="421">
        <f>Tabela317[[#This Row],[TOTAL ALUNOS ABAIXO DO BASICO]]/Tabela317[[#This Row],[TOTAL DE ALUNOS]]*100</f>
        <v>11.743772241992882</v>
      </c>
      <c r="J13" s="421">
        <f>Tabela317[[#This Row],[Abaixo do Básico]]*1</f>
        <v>11.743772241992882</v>
      </c>
      <c r="K13" s="421">
        <f>Tabela317[[#This Row],[TOTAL ALUNOS DO BASICO]]/Tabela317[[#This Row],[TOTAL DE ALUNOS]]*100</f>
        <v>19.217081850533805</v>
      </c>
      <c r="L13" s="421">
        <f>Tabela317[[#This Row],[Básico]]*2</f>
        <v>38.434163701067611</v>
      </c>
      <c r="M13" s="421">
        <f>Tabela317[[#This Row],[TOTAL ALUNOS ADEQUADO]]/Tabela317[[#This Row],[TOTAL DE ALUNOS]]*100</f>
        <v>42.34875444839858</v>
      </c>
      <c r="N13" s="421">
        <f>Tabela317[[#This Row],[Adequado]]*3</f>
        <v>127.04626334519574</v>
      </c>
      <c r="O13" s="421">
        <f>Tabela317[[#This Row],[TOTAL DE ALUNOS AVANÇADO]]/Tabela317[[#This Row],[TOTAL DE ALUNOS]]*100</f>
        <v>26.690391459074732</v>
      </c>
      <c r="P13" s="421">
        <f>Tabela317[[#This Row],[Avançado]]*4</f>
        <v>106.76156583629893</v>
      </c>
      <c r="Q13" s="421">
        <f t="shared" si="3"/>
        <v>283.98576512455514</v>
      </c>
      <c r="R13" s="455">
        <f>Tabela317[[#This Row],[Participação]]*100</f>
        <v>95.58</v>
      </c>
      <c r="S13" s="422">
        <f t="shared" si="4"/>
        <v>283.98576512455514</v>
      </c>
      <c r="T13" s="422">
        <f>Tabela317[[#This Row],[META 2024]]*0.65</f>
        <v>182.28593500000002</v>
      </c>
      <c r="U13" s="421">
        <v>280.43990000000002</v>
      </c>
      <c r="V13" s="422">
        <f t="shared" si="0"/>
        <v>1.0361255413834287</v>
      </c>
      <c r="W13" s="422">
        <f t="shared" si="6"/>
        <v>1</v>
      </c>
      <c r="Y13" s="303" t="s">
        <v>731</v>
      </c>
      <c r="Z13" s="312">
        <f>COUNTIFS(Tabela317[[ICM ]], "&gt;=0",Tabela317[[ICM ]], "&lt;0,4")</f>
        <v>1</v>
      </c>
      <c r="AA13" s="313">
        <f t="shared" si="5"/>
        <v>4.3859649122807015E-3</v>
      </c>
    </row>
    <row r="14" spans="1:27">
      <c r="A14" s="456">
        <v>15</v>
      </c>
      <c r="B14" s="457" t="s">
        <v>38</v>
      </c>
      <c r="C14" s="418">
        <v>47</v>
      </c>
      <c r="D14" s="418">
        <v>76</v>
      </c>
      <c r="E14" s="418">
        <v>96</v>
      </c>
      <c r="F14" s="418">
        <v>107</v>
      </c>
      <c r="G14" s="454">
        <f t="shared" si="2"/>
        <v>326</v>
      </c>
      <c r="H14" s="420">
        <v>0.9617</v>
      </c>
      <c r="I14" s="421">
        <f>Tabela317[[#This Row],[TOTAL ALUNOS ABAIXO DO BASICO]]/Tabela317[[#This Row],[TOTAL DE ALUNOS]]*100</f>
        <v>14.417177914110429</v>
      </c>
      <c r="J14" s="421">
        <f>Tabela317[[#This Row],[Abaixo do Básico]]*1</f>
        <v>14.417177914110429</v>
      </c>
      <c r="K14" s="421">
        <f>Tabela317[[#This Row],[TOTAL ALUNOS DO BASICO]]/Tabela317[[#This Row],[TOTAL DE ALUNOS]]*100</f>
        <v>23.312883435582819</v>
      </c>
      <c r="L14" s="421">
        <f>Tabela317[[#This Row],[Básico]]*2</f>
        <v>46.625766871165638</v>
      </c>
      <c r="M14" s="421">
        <f>Tabela317[[#This Row],[TOTAL ALUNOS ADEQUADO]]/Tabela317[[#This Row],[TOTAL DE ALUNOS]]*100</f>
        <v>29.447852760736197</v>
      </c>
      <c r="N14" s="421">
        <f>Tabela317[[#This Row],[Adequado]]*3</f>
        <v>88.343558282208591</v>
      </c>
      <c r="O14" s="421">
        <f>Tabela317[[#This Row],[TOTAL DE ALUNOS AVANÇADO]]/Tabela317[[#This Row],[TOTAL DE ALUNOS]]*100</f>
        <v>32.822085889570552</v>
      </c>
      <c r="P14" s="421">
        <f>Tabela317[[#This Row],[Avançado]]*4</f>
        <v>131.28834355828221</v>
      </c>
      <c r="Q14" s="421">
        <f t="shared" si="3"/>
        <v>280.67484662576686</v>
      </c>
      <c r="R14" s="455">
        <f>Tabela317[[#This Row],[Participação]]*100</f>
        <v>96.17</v>
      </c>
      <c r="S14" s="422">
        <f t="shared" si="4"/>
        <v>280.67484662576686</v>
      </c>
      <c r="T14" s="422">
        <f>Tabela317[[#This Row],[META 2024]]*0.65</f>
        <v>174.92299500000001</v>
      </c>
      <c r="U14" s="421">
        <v>269.1123</v>
      </c>
      <c r="V14" s="422">
        <f t="shared" si="0"/>
        <v>1.122758593725337</v>
      </c>
      <c r="W14" s="422">
        <f t="shared" si="6"/>
        <v>1</v>
      </c>
      <c r="Y14" s="303" t="s">
        <v>732</v>
      </c>
      <c r="Z14" s="312">
        <f>COUNTIFS(Tabela317[[ICM ]], "")</f>
        <v>6</v>
      </c>
      <c r="AA14" s="313">
        <f t="shared" si="5"/>
        <v>2.6315789473684209E-2</v>
      </c>
    </row>
    <row r="15" spans="1:27">
      <c r="A15" s="456">
        <v>16</v>
      </c>
      <c r="B15" s="457" t="s">
        <v>188</v>
      </c>
      <c r="C15" s="418">
        <v>65</v>
      </c>
      <c r="D15" s="418">
        <v>79</v>
      </c>
      <c r="E15" s="418">
        <v>83</v>
      </c>
      <c r="F15" s="418">
        <v>49</v>
      </c>
      <c r="G15" s="454">
        <f t="shared" si="2"/>
        <v>276</v>
      </c>
      <c r="H15" s="420">
        <v>0.85450000000000004</v>
      </c>
      <c r="I15" s="421">
        <f>Tabela317[[#This Row],[TOTAL ALUNOS ABAIXO DO BASICO]]/Tabela317[[#This Row],[TOTAL DE ALUNOS]]*100</f>
        <v>23.55072463768116</v>
      </c>
      <c r="J15" s="421">
        <f>Tabela317[[#This Row],[Abaixo do Básico]]*1</f>
        <v>23.55072463768116</v>
      </c>
      <c r="K15" s="421">
        <f>Tabela317[[#This Row],[TOTAL ALUNOS DO BASICO]]/Tabela317[[#This Row],[TOTAL DE ALUNOS]]*100</f>
        <v>28.623188405797102</v>
      </c>
      <c r="L15" s="421">
        <f>Tabela317[[#This Row],[Básico]]*2</f>
        <v>57.246376811594203</v>
      </c>
      <c r="M15" s="421">
        <f>Tabela317[[#This Row],[TOTAL ALUNOS ADEQUADO]]/Tabela317[[#This Row],[TOTAL DE ALUNOS]]*100</f>
        <v>30.072463768115941</v>
      </c>
      <c r="N15" s="421">
        <f>Tabela317[[#This Row],[Adequado]]*3</f>
        <v>90.217391304347828</v>
      </c>
      <c r="O15" s="421">
        <f>Tabela317[[#This Row],[TOTAL DE ALUNOS AVANÇADO]]/Tabela317[[#This Row],[TOTAL DE ALUNOS]]*100</f>
        <v>17.753623188405797</v>
      </c>
      <c r="P15" s="421">
        <f>Tabela317[[#This Row],[Avançado]]*4</f>
        <v>71.014492753623188</v>
      </c>
      <c r="Q15" s="421">
        <f t="shared" si="3"/>
        <v>242.02898550724638</v>
      </c>
      <c r="R15" s="455">
        <f>Tabela317[[#This Row],[Participação]]*100</f>
        <v>85.45</v>
      </c>
      <c r="S15" s="422">
        <f t="shared" si="4"/>
        <v>242.02898550724638</v>
      </c>
      <c r="T15" s="422">
        <f>Tabela317[[#This Row],[META 2024]]*0.65</f>
        <v>162.33867000000001</v>
      </c>
      <c r="U15" s="421">
        <v>249.7518</v>
      </c>
      <c r="V15" s="422">
        <f t="shared" si="0"/>
        <v>0.91165155059939362</v>
      </c>
      <c r="W15" s="422">
        <f t="shared" si="6"/>
        <v>0.91165155059939362</v>
      </c>
      <c r="Y15" s="303" t="s">
        <v>733</v>
      </c>
      <c r="Z15" s="312">
        <f>SUM(Z6:Z14)</f>
        <v>228</v>
      </c>
      <c r="AA15" s="314">
        <f>SUM(AA6:AA14)</f>
        <v>1</v>
      </c>
    </row>
    <row r="16" spans="1:27">
      <c r="A16" s="456">
        <v>17</v>
      </c>
      <c r="B16" s="457" t="s">
        <v>69</v>
      </c>
      <c r="C16" s="418">
        <v>48</v>
      </c>
      <c r="D16" s="418">
        <v>49</v>
      </c>
      <c r="E16" s="418">
        <v>76</v>
      </c>
      <c r="F16" s="418">
        <v>65</v>
      </c>
      <c r="G16" s="454">
        <f t="shared" si="2"/>
        <v>238</v>
      </c>
      <c r="H16" s="420">
        <v>0.91190000000000004</v>
      </c>
      <c r="I16" s="421">
        <f>Tabela317[[#This Row],[TOTAL ALUNOS ABAIXO DO BASICO]]/Tabela317[[#This Row],[TOTAL DE ALUNOS]]*100</f>
        <v>20.168067226890756</v>
      </c>
      <c r="J16" s="421">
        <f>Tabela317[[#This Row],[Abaixo do Básico]]*1</f>
        <v>20.168067226890756</v>
      </c>
      <c r="K16" s="421">
        <f>Tabela317[[#This Row],[TOTAL ALUNOS DO BASICO]]/Tabela317[[#This Row],[TOTAL DE ALUNOS]]*100</f>
        <v>20.588235294117645</v>
      </c>
      <c r="L16" s="421">
        <f>Tabela317[[#This Row],[Básico]]*2</f>
        <v>41.17647058823529</v>
      </c>
      <c r="M16" s="421">
        <f>Tabela317[[#This Row],[TOTAL ALUNOS ADEQUADO]]/Tabela317[[#This Row],[TOTAL DE ALUNOS]]*100</f>
        <v>31.932773109243694</v>
      </c>
      <c r="N16" s="421">
        <f>Tabela317[[#This Row],[Adequado]]*3</f>
        <v>95.798319327731079</v>
      </c>
      <c r="O16" s="421">
        <f>Tabela317[[#This Row],[TOTAL DE ALUNOS AVANÇADO]]/Tabela317[[#This Row],[TOTAL DE ALUNOS]]*100</f>
        <v>27.310924369747898</v>
      </c>
      <c r="P16" s="421">
        <f>Tabela317[[#This Row],[Avançado]]*4</f>
        <v>109.24369747899159</v>
      </c>
      <c r="Q16" s="421">
        <f t="shared" si="3"/>
        <v>266.38655462184869</v>
      </c>
      <c r="R16" s="455">
        <f>Tabela317[[#This Row],[Participação]]*100</f>
        <v>91.19</v>
      </c>
      <c r="S16" s="422">
        <f t="shared" si="4"/>
        <v>266.38655462184869</v>
      </c>
      <c r="T16" s="422">
        <f>Tabela317[[#This Row],[META 2024]]*0.65</f>
        <v>180.00547500000002</v>
      </c>
      <c r="U16" s="421">
        <v>276.93150000000003</v>
      </c>
      <c r="V16" s="422">
        <f t="shared" si="0"/>
        <v>0.89120625365425499</v>
      </c>
      <c r="W16" s="422">
        <f t="shared" si="6"/>
        <v>0.89120625365425499</v>
      </c>
    </row>
    <row r="17" spans="1:23">
      <c r="A17" s="456">
        <v>18</v>
      </c>
      <c r="B17" s="457" t="s">
        <v>43</v>
      </c>
      <c r="C17" s="418">
        <v>20</v>
      </c>
      <c r="D17" s="418">
        <v>24</v>
      </c>
      <c r="E17" s="418">
        <v>48</v>
      </c>
      <c r="F17" s="418">
        <v>57</v>
      </c>
      <c r="G17" s="454">
        <f t="shared" si="2"/>
        <v>149</v>
      </c>
      <c r="H17" s="420">
        <v>0.92549999999999999</v>
      </c>
      <c r="I17" s="421">
        <f>Tabela317[[#This Row],[TOTAL ALUNOS ABAIXO DO BASICO]]/Tabela317[[#This Row],[TOTAL DE ALUNOS]]*100</f>
        <v>13.422818791946309</v>
      </c>
      <c r="J17" s="421">
        <f>Tabela317[[#This Row],[Abaixo do Básico]]*1</f>
        <v>13.422818791946309</v>
      </c>
      <c r="K17" s="421">
        <f>Tabela317[[#This Row],[TOTAL ALUNOS DO BASICO]]/Tabela317[[#This Row],[TOTAL DE ALUNOS]]*100</f>
        <v>16.107382550335569</v>
      </c>
      <c r="L17" s="421">
        <f>Tabela317[[#This Row],[Básico]]*2</f>
        <v>32.214765100671137</v>
      </c>
      <c r="M17" s="421">
        <f>Tabela317[[#This Row],[TOTAL ALUNOS ADEQUADO]]/Tabela317[[#This Row],[TOTAL DE ALUNOS]]*100</f>
        <v>32.214765100671137</v>
      </c>
      <c r="N17" s="421">
        <f>Tabela317[[#This Row],[Adequado]]*3</f>
        <v>96.644295302013404</v>
      </c>
      <c r="O17" s="421">
        <f>Tabela317[[#This Row],[TOTAL DE ALUNOS AVANÇADO]]/Tabela317[[#This Row],[TOTAL DE ALUNOS]]*100</f>
        <v>38.255033557046978</v>
      </c>
      <c r="P17" s="421">
        <f>Tabela317[[#This Row],[Avançado]]*4</f>
        <v>153.02013422818791</v>
      </c>
      <c r="Q17" s="421">
        <f t="shared" si="3"/>
        <v>295.30201342281873</v>
      </c>
      <c r="R17" s="455">
        <f>Tabela317[[#This Row],[Participação]]*100</f>
        <v>92.55</v>
      </c>
      <c r="S17" s="422">
        <f t="shared" si="4"/>
        <v>295.30201342281873</v>
      </c>
      <c r="T17" s="422">
        <f>Tabela317[[#This Row],[META 2024]]*0.65</f>
        <v>217.64515500000002</v>
      </c>
      <c r="U17" s="421">
        <v>334.83870000000002</v>
      </c>
      <c r="V17" s="422">
        <f t="shared" si="0"/>
        <v>0.66263767703945398</v>
      </c>
      <c r="W17" s="422">
        <f t="shared" si="6"/>
        <v>0.66263767703945398</v>
      </c>
    </row>
    <row r="18" spans="1:23">
      <c r="A18" s="456">
        <v>19</v>
      </c>
      <c r="B18" s="457" t="s">
        <v>149</v>
      </c>
      <c r="C18" s="418">
        <v>56</v>
      </c>
      <c r="D18" s="418">
        <v>59</v>
      </c>
      <c r="E18" s="418">
        <v>31</v>
      </c>
      <c r="F18" s="418">
        <v>16</v>
      </c>
      <c r="G18" s="454">
        <f t="shared" si="2"/>
        <v>162</v>
      </c>
      <c r="H18" s="420">
        <v>0.92049999999999998</v>
      </c>
      <c r="I18" s="421">
        <f>Tabela317[[#This Row],[TOTAL ALUNOS ABAIXO DO BASICO]]/Tabela317[[#This Row],[TOTAL DE ALUNOS]]*100</f>
        <v>34.567901234567898</v>
      </c>
      <c r="J18" s="421">
        <f>Tabela317[[#This Row],[Abaixo do Básico]]*1</f>
        <v>34.567901234567898</v>
      </c>
      <c r="K18" s="421">
        <f>Tabela317[[#This Row],[TOTAL ALUNOS DO BASICO]]/Tabela317[[#This Row],[TOTAL DE ALUNOS]]*100</f>
        <v>36.419753086419753</v>
      </c>
      <c r="L18" s="421">
        <f>Tabela317[[#This Row],[Básico]]*2</f>
        <v>72.839506172839506</v>
      </c>
      <c r="M18" s="421">
        <f>Tabela317[[#This Row],[TOTAL ALUNOS ADEQUADO]]/Tabela317[[#This Row],[TOTAL DE ALUNOS]]*100</f>
        <v>19.1358024691358</v>
      </c>
      <c r="N18" s="421">
        <f>Tabela317[[#This Row],[Adequado]]*3</f>
        <v>57.407407407407405</v>
      </c>
      <c r="O18" s="421">
        <f>Tabela317[[#This Row],[TOTAL DE ALUNOS AVANÇADO]]/Tabela317[[#This Row],[TOTAL DE ALUNOS]]*100</f>
        <v>9.8765432098765427</v>
      </c>
      <c r="P18" s="421">
        <f>Tabela317[[#This Row],[Avançado]]*4</f>
        <v>39.506172839506171</v>
      </c>
      <c r="Q18" s="421">
        <f t="shared" si="3"/>
        <v>204.32098765432099</v>
      </c>
      <c r="R18" s="455">
        <f>Tabela317[[#This Row],[Participação]]*100</f>
        <v>92.05</v>
      </c>
      <c r="S18" s="422">
        <f t="shared" si="4"/>
        <v>204.32098765432099</v>
      </c>
      <c r="T18" s="422">
        <f>Tabela317[[#This Row],[META 2024]]*0.65</f>
        <v>138.240375</v>
      </c>
      <c r="U18" s="421">
        <v>212.67750000000001</v>
      </c>
      <c r="V18" s="422">
        <f t="shared" si="0"/>
        <v>0.8877373038563886</v>
      </c>
      <c r="W18" s="422">
        <f t="shared" si="6"/>
        <v>0.8877373038563886</v>
      </c>
    </row>
    <row r="19" spans="1:23">
      <c r="A19" s="456">
        <v>23</v>
      </c>
      <c r="B19" s="457" t="s">
        <v>79</v>
      </c>
      <c r="C19" s="418">
        <v>109</v>
      </c>
      <c r="D19" s="418">
        <v>84</v>
      </c>
      <c r="E19" s="418">
        <v>93</v>
      </c>
      <c r="F19" s="418">
        <v>74</v>
      </c>
      <c r="G19" s="454">
        <f t="shared" si="2"/>
        <v>360</v>
      </c>
      <c r="H19" s="420">
        <v>0.9375</v>
      </c>
      <c r="I19" s="421">
        <f>Tabela317[[#This Row],[TOTAL ALUNOS ABAIXO DO BASICO]]/Tabela317[[#This Row],[TOTAL DE ALUNOS]]*100</f>
        <v>30.277777777777775</v>
      </c>
      <c r="J19" s="421">
        <f>Tabela317[[#This Row],[Abaixo do Básico]]*1</f>
        <v>30.277777777777775</v>
      </c>
      <c r="K19" s="421">
        <f>Tabela317[[#This Row],[TOTAL ALUNOS DO BASICO]]/Tabela317[[#This Row],[TOTAL DE ALUNOS]]*100</f>
        <v>23.333333333333332</v>
      </c>
      <c r="L19" s="421">
        <f>Tabela317[[#This Row],[Básico]]*2</f>
        <v>46.666666666666664</v>
      </c>
      <c r="M19" s="421">
        <f>Tabela317[[#This Row],[TOTAL ALUNOS ADEQUADO]]/Tabela317[[#This Row],[TOTAL DE ALUNOS]]*100</f>
        <v>25.833333333333336</v>
      </c>
      <c r="N19" s="421">
        <f>Tabela317[[#This Row],[Adequado]]*3</f>
        <v>77.5</v>
      </c>
      <c r="O19" s="421">
        <f>Tabela317[[#This Row],[TOTAL DE ALUNOS AVANÇADO]]/Tabela317[[#This Row],[TOTAL DE ALUNOS]]*100</f>
        <v>20.555555555555554</v>
      </c>
      <c r="P19" s="421">
        <f>Tabela317[[#This Row],[Avançado]]*4</f>
        <v>82.222222222222214</v>
      </c>
      <c r="Q19" s="421">
        <f t="shared" si="3"/>
        <v>236.66666666666669</v>
      </c>
      <c r="R19" s="455">
        <f>Tabela317[[#This Row],[Participação]]*100</f>
        <v>93.75</v>
      </c>
      <c r="S19" s="422">
        <f t="shared" si="4"/>
        <v>236.66666666666669</v>
      </c>
      <c r="T19" s="422">
        <f>Tabela317[[#This Row],[META 2024]]*0.65</f>
        <v>169.92423500000001</v>
      </c>
      <c r="U19" s="421">
        <v>261.42189999999999</v>
      </c>
      <c r="V19" s="422">
        <f t="shared" si="0"/>
        <v>0.72944409747141292</v>
      </c>
      <c r="W19" s="422">
        <f t="shared" si="6"/>
        <v>0.72944409747141292</v>
      </c>
    </row>
    <row r="20" spans="1:23">
      <c r="A20" s="456">
        <v>24</v>
      </c>
      <c r="B20" s="457" t="s">
        <v>96</v>
      </c>
      <c r="C20" s="418">
        <v>35</v>
      </c>
      <c r="D20" s="418">
        <v>44</v>
      </c>
      <c r="E20" s="418">
        <v>40</v>
      </c>
      <c r="F20" s="418">
        <v>26</v>
      </c>
      <c r="G20" s="454">
        <f t="shared" si="2"/>
        <v>145</v>
      </c>
      <c r="H20" s="420">
        <v>0.95389999999999997</v>
      </c>
      <c r="I20" s="421">
        <f>Tabela317[[#This Row],[TOTAL ALUNOS ABAIXO DO BASICO]]/Tabela317[[#This Row],[TOTAL DE ALUNOS]]*100</f>
        <v>24.137931034482758</v>
      </c>
      <c r="J20" s="421">
        <f>Tabela317[[#This Row],[Abaixo do Básico]]*1</f>
        <v>24.137931034482758</v>
      </c>
      <c r="K20" s="421">
        <f>Tabela317[[#This Row],[TOTAL ALUNOS DO BASICO]]/Tabela317[[#This Row],[TOTAL DE ALUNOS]]*100</f>
        <v>30.344827586206897</v>
      </c>
      <c r="L20" s="421">
        <f>Tabela317[[#This Row],[Básico]]*2</f>
        <v>60.689655172413794</v>
      </c>
      <c r="M20" s="421">
        <f>Tabela317[[#This Row],[TOTAL ALUNOS ADEQUADO]]/Tabela317[[#This Row],[TOTAL DE ALUNOS]]*100</f>
        <v>27.586206896551722</v>
      </c>
      <c r="N20" s="421">
        <f>Tabela317[[#This Row],[Adequado]]*3</f>
        <v>82.758620689655174</v>
      </c>
      <c r="O20" s="421">
        <f>Tabela317[[#This Row],[TOTAL DE ALUNOS AVANÇADO]]/Tabela317[[#This Row],[TOTAL DE ALUNOS]]*100</f>
        <v>17.931034482758619</v>
      </c>
      <c r="P20" s="421">
        <f>Tabela317[[#This Row],[Avançado]]*4</f>
        <v>71.724137931034477</v>
      </c>
      <c r="Q20" s="421">
        <f t="shared" si="3"/>
        <v>239.31034482758622</v>
      </c>
      <c r="R20" s="455">
        <f>Tabela317[[#This Row],[Participação]]*100</f>
        <v>95.39</v>
      </c>
      <c r="S20" s="422">
        <f t="shared" si="4"/>
        <v>239.31034482758622</v>
      </c>
      <c r="T20" s="422">
        <f>Tabela317[[#This Row],[META 2024]]*0.65</f>
        <v>172.15256500000001</v>
      </c>
      <c r="U20" s="421">
        <v>264.8501</v>
      </c>
      <c r="V20" s="422">
        <f t="shared" si="0"/>
        <v>0.7244829091473276</v>
      </c>
      <c r="W20" s="422">
        <f t="shared" si="6"/>
        <v>0.7244829091473276</v>
      </c>
    </row>
    <row r="21" spans="1:23">
      <c r="A21" s="456">
        <v>25</v>
      </c>
      <c r="B21" s="457" t="s">
        <v>29</v>
      </c>
      <c r="C21" s="418">
        <v>95</v>
      </c>
      <c r="D21" s="418">
        <v>56</v>
      </c>
      <c r="E21" s="418">
        <v>40</v>
      </c>
      <c r="F21" s="418">
        <v>24</v>
      </c>
      <c r="G21" s="454">
        <f t="shared" si="2"/>
        <v>215</v>
      </c>
      <c r="H21" s="420">
        <v>0.86</v>
      </c>
      <c r="I21" s="421">
        <f>Tabela317[[#This Row],[TOTAL ALUNOS ABAIXO DO BASICO]]/Tabela317[[#This Row],[TOTAL DE ALUNOS]]*100</f>
        <v>44.186046511627907</v>
      </c>
      <c r="J21" s="421">
        <f>Tabela317[[#This Row],[Abaixo do Básico]]*1</f>
        <v>44.186046511627907</v>
      </c>
      <c r="K21" s="421">
        <f>Tabela317[[#This Row],[TOTAL ALUNOS DO BASICO]]/Tabela317[[#This Row],[TOTAL DE ALUNOS]]*100</f>
        <v>26.046511627906977</v>
      </c>
      <c r="L21" s="421">
        <f>Tabela317[[#This Row],[Básico]]*2</f>
        <v>52.093023255813954</v>
      </c>
      <c r="M21" s="421">
        <f>Tabela317[[#This Row],[TOTAL ALUNOS ADEQUADO]]/Tabela317[[#This Row],[TOTAL DE ALUNOS]]*100</f>
        <v>18.604651162790699</v>
      </c>
      <c r="N21" s="421">
        <f>Tabela317[[#This Row],[Adequado]]*3</f>
        <v>55.813953488372093</v>
      </c>
      <c r="O21" s="421">
        <f>Tabela317[[#This Row],[TOTAL DE ALUNOS AVANÇADO]]/Tabela317[[#This Row],[TOTAL DE ALUNOS]]*100</f>
        <v>11.162790697674419</v>
      </c>
      <c r="P21" s="421">
        <f>Tabela317[[#This Row],[Avançado]]*4</f>
        <v>44.651162790697676</v>
      </c>
      <c r="Q21" s="421">
        <f t="shared" si="3"/>
        <v>196.7441860465116</v>
      </c>
      <c r="R21" s="455">
        <f>Tabela317[[#This Row],[Participação]]*100</f>
        <v>86</v>
      </c>
      <c r="S21" s="422">
        <f t="shared" si="4"/>
        <v>196.7441860465116</v>
      </c>
      <c r="T21" s="422">
        <f>Tabela317[[#This Row],[META 2024]]*0.65</f>
        <v>132.87742</v>
      </c>
      <c r="U21" s="421">
        <v>204.42679999999999</v>
      </c>
      <c r="V21" s="422">
        <f t="shared" si="0"/>
        <v>0.89262501011904805</v>
      </c>
      <c r="W21" s="422">
        <f t="shared" si="6"/>
        <v>0.89262501011904805</v>
      </c>
    </row>
    <row r="22" spans="1:23">
      <c r="A22" s="456">
        <v>26</v>
      </c>
      <c r="B22" s="457" t="s">
        <v>55</v>
      </c>
      <c r="C22" s="418">
        <v>43</v>
      </c>
      <c r="D22" s="418">
        <v>46</v>
      </c>
      <c r="E22" s="418">
        <v>54</v>
      </c>
      <c r="F22" s="418">
        <v>53</v>
      </c>
      <c r="G22" s="454">
        <f t="shared" si="2"/>
        <v>196</v>
      </c>
      <c r="H22" s="420">
        <v>0.9849</v>
      </c>
      <c r="I22" s="421">
        <f>Tabela317[[#This Row],[TOTAL ALUNOS ABAIXO DO BASICO]]/Tabela317[[#This Row],[TOTAL DE ALUNOS]]*100</f>
        <v>21.938775510204081</v>
      </c>
      <c r="J22" s="421">
        <f>Tabela317[[#This Row],[Abaixo do Básico]]*1</f>
        <v>21.938775510204081</v>
      </c>
      <c r="K22" s="421">
        <f>Tabela317[[#This Row],[TOTAL ALUNOS DO BASICO]]/Tabela317[[#This Row],[TOTAL DE ALUNOS]]*100</f>
        <v>23.469387755102041</v>
      </c>
      <c r="L22" s="421">
        <f>Tabela317[[#This Row],[Básico]]*2</f>
        <v>46.938775510204081</v>
      </c>
      <c r="M22" s="421">
        <f>Tabela317[[#This Row],[TOTAL ALUNOS ADEQUADO]]/Tabela317[[#This Row],[TOTAL DE ALUNOS]]*100</f>
        <v>27.551020408163261</v>
      </c>
      <c r="N22" s="421">
        <f>Tabela317[[#This Row],[Adequado]]*3</f>
        <v>82.65306122448979</v>
      </c>
      <c r="O22" s="421">
        <f>Tabela317[[#This Row],[TOTAL DE ALUNOS AVANÇADO]]/Tabela317[[#This Row],[TOTAL DE ALUNOS]]*100</f>
        <v>27.040816326530614</v>
      </c>
      <c r="P22" s="421">
        <f>Tabela317[[#This Row],[Avançado]]*4</f>
        <v>108.16326530612245</v>
      </c>
      <c r="Q22" s="421">
        <f t="shared" si="3"/>
        <v>259.69387755102042</v>
      </c>
      <c r="R22" s="455">
        <f>Tabela317[[#This Row],[Participação]]*100</f>
        <v>98.49</v>
      </c>
      <c r="S22" s="422">
        <f t="shared" si="4"/>
        <v>259.69387755102042</v>
      </c>
      <c r="T22" s="422">
        <f>Tabela317[[#This Row],[META 2024]]*0.65</f>
        <v>163.07447000000002</v>
      </c>
      <c r="U22" s="421">
        <v>250.88380000000001</v>
      </c>
      <c r="V22" s="422">
        <f t="shared" si="0"/>
        <v>1.1003319072246698</v>
      </c>
      <c r="W22" s="422">
        <f t="shared" si="6"/>
        <v>1</v>
      </c>
    </row>
    <row r="23" spans="1:23">
      <c r="A23" s="456">
        <v>27</v>
      </c>
      <c r="B23" s="457" t="s">
        <v>155</v>
      </c>
      <c r="C23" s="418">
        <v>77</v>
      </c>
      <c r="D23" s="418">
        <v>41</v>
      </c>
      <c r="E23" s="418">
        <v>34</v>
      </c>
      <c r="F23" s="418">
        <v>23</v>
      </c>
      <c r="G23" s="454">
        <f t="shared" si="2"/>
        <v>175</v>
      </c>
      <c r="H23" s="420">
        <v>0.90669999999999995</v>
      </c>
      <c r="I23" s="421">
        <f>Tabela317[[#This Row],[TOTAL ALUNOS ABAIXO DO BASICO]]/Tabela317[[#This Row],[TOTAL DE ALUNOS]]*100</f>
        <v>44</v>
      </c>
      <c r="J23" s="421">
        <f>Tabela317[[#This Row],[Abaixo do Básico]]*1</f>
        <v>44</v>
      </c>
      <c r="K23" s="421">
        <f>Tabela317[[#This Row],[TOTAL ALUNOS DO BASICO]]/Tabela317[[#This Row],[TOTAL DE ALUNOS]]*100</f>
        <v>23.428571428571431</v>
      </c>
      <c r="L23" s="421">
        <f>Tabela317[[#This Row],[Básico]]*2</f>
        <v>46.857142857142861</v>
      </c>
      <c r="M23" s="421">
        <f>Tabela317[[#This Row],[TOTAL ALUNOS ADEQUADO]]/Tabela317[[#This Row],[TOTAL DE ALUNOS]]*100</f>
        <v>19.428571428571427</v>
      </c>
      <c r="N23" s="421">
        <f>Tabela317[[#This Row],[Adequado]]*3</f>
        <v>58.285714285714278</v>
      </c>
      <c r="O23" s="421">
        <f>Tabela317[[#This Row],[TOTAL DE ALUNOS AVANÇADO]]/Tabela317[[#This Row],[TOTAL DE ALUNOS]]*100</f>
        <v>13.142857142857142</v>
      </c>
      <c r="P23" s="421">
        <f>Tabela317[[#This Row],[Avançado]]*4</f>
        <v>52.571428571428569</v>
      </c>
      <c r="Q23" s="421">
        <f t="shared" si="3"/>
        <v>201.71428571428572</v>
      </c>
      <c r="R23" s="455">
        <f>Tabela317[[#This Row],[Participação]]*100</f>
        <v>90.67</v>
      </c>
      <c r="S23" s="422">
        <f t="shared" si="4"/>
        <v>201.71428571428572</v>
      </c>
      <c r="T23" s="422">
        <f>Tabela317[[#This Row],[META 2024]]*0.65</f>
        <v>153.888475</v>
      </c>
      <c r="U23" s="421">
        <v>236.75149999999999</v>
      </c>
      <c r="V23" s="422">
        <f t="shared" si="0"/>
        <v>0.57716708645726755</v>
      </c>
      <c r="W23" s="422">
        <f t="shared" si="6"/>
        <v>0.57716708645726755</v>
      </c>
    </row>
    <row r="24" spans="1:23">
      <c r="A24" s="456">
        <v>28</v>
      </c>
      <c r="B24" s="457" t="s">
        <v>27</v>
      </c>
      <c r="C24" s="418">
        <v>32</v>
      </c>
      <c r="D24" s="418">
        <v>8</v>
      </c>
      <c r="E24" s="418">
        <v>4</v>
      </c>
      <c r="F24" s="418"/>
      <c r="G24" s="454">
        <f t="shared" si="2"/>
        <v>44</v>
      </c>
      <c r="H24" s="420">
        <v>0.78569999999999995</v>
      </c>
      <c r="I24" s="421">
        <f>Tabela317[[#This Row],[TOTAL ALUNOS ABAIXO DO BASICO]]/Tabela317[[#This Row],[TOTAL DE ALUNOS]]*100</f>
        <v>72.727272727272734</v>
      </c>
      <c r="J24" s="421">
        <f>Tabela317[[#This Row],[Abaixo do Básico]]*1</f>
        <v>72.727272727272734</v>
      </c>
      <c r="K24" s="421">
        <f>Tabela317[[#This Row],[TOTAL ALUNOS DO BASICO]]/Tabela317[[#This Row],[TOTAL DE ALUNOS]]*100</f>
        <v>18.181818181818183</v>
      </c>
      <c r="L24" s="421">
        <f>Tabela317[[#This Row],[Básico]]*2</f>
        <v>36.363636363636367</v>
      </c>
      <c r="M24" s="421">
        <f>Tabela317[[#This Row],[TOTAL ALUNOS ADEQUADO]]/Tabela317[[#This Row],[TOTAL DE ALUNOS]]*100</f>
        <v>9.0909090909090917</v>
      </c>
      <c r="N24" s="421">
        <f>Tabela317[[#This Row],[Adequado]]*3</f>
        <v>27.272727272727273</v>
      </c>
      <c r="O24" s="421">
        <f>Tabela317[[#This Row],[TOTAL DE ALUNOS AVANÇADO]]/Tabela317[[#This Row],[TOTAL DE ALUNOS]]*100</f>
        <v>0</v>
      </c>
      <c r="P24" s="421">
        <f>Tabela317[[#This Row],[Avançado]]*4</f>
        <v>0</v>
      </c>
      <c r="Q24" s="421">
        <f t="shared" si="3"/>
        <v>136.36363636363637</v>
      </c>
      <c r="R24" s="455">
        <f>Tabela317[[#This Row],[Participação]]*100</f>
        <v>78.569999999999993</v>
      </c>
      <c r="S24" s="422">
        <f t="shared" si="4"/>
        <v>136.36363636363637</v>
      </c>
      <c r="T24" s="422">
        <f>Tabela317[[#This Row],[META 2024]]*0.65</f>
        <v>90.048985000000002</v>
      </c>
      <c r="U24" s="421">
        <v>138.5369</v>
      </c>
      <c r="V24" s="422">
        <f t="shared" si="0"/>
        <v>0.95517927227096422</v>
      </c>
      <c r="W24" s="422">
        <f t="shared" si="6"/>
        <v>0.95517927227096422</v>
      </c>
    </row>
    <row r="25" spans="1:23">
      <c r="A25" s="456">
        <v>29</v>
      </c>
      <c r="B25" s="457" t="s">
        <v>182</v>
      </c>
      <c r="C25" s="418">
        <v>33</v>
      </c>
      <c r="D25" s="418">
        <v>40</v>
      </c>
      <c r="E25" s="418">
        <v>46</v>
      </c>
      <c r="F25" s="418">
        <v>22</v>
      </c>
      <c r="G25" s="454">
        <f t="shared" si="2"/>
        <v>141</v>
      </c>
      <c r="H25" s="420">
        <v>0.97240000000000004</v>
      </c>
      <c r="I25" s="421">
        <f>Tabela317[[#This Row],[TOTAL ALUNOS ABAIXO DO BASICO]]/Tabela317[[#This Row],[TOTAL DE ALUNOS]]*100</f>
        <v>23.404255319148938</v>
      </c>
      <c r="J25" s="421">
        <f>Tabela317[[#This Row],[Abaixo do Básico]]*1</f>
        <v>23.404255319148938</v>
      </c>
      <c r="K25" s="421">
        <f>Tabela317[[#This Row],[TOTAL ALUNOS DO BASICO]]/Tabela317[[#This Row],[TOTAL DE ALUNOS]]*100</f>
        <v>28.368794326241137</v>
      </c>
      <c r="L25" s="421">
        <f>Tabela317[[#This Row],[Básico]]*2</f>
        <v>56.737588652482273</v>
      </c>
      <c r="M25" s="421">
        <f>Tabela317[[#This Row],[TOTAL ALUNOS ADEQUADO]]/Tabela317[[#This Row],[TOTAL DE ALUNOS]]*100</f>
        <v>32.62411347517731</v>
      </c>
      <c r="N25" s="421">
        <f>Tabela317[[#This Row],[Adequado]]*3</f>
        <v>97.872340425531931</v>
      </c>
      <c r="O25" s="421">
        <f>Tabela317[[#This Row],[TOTAL DE ALUNOS AVANÇADO]]/Tabela317[[#This Row],[TOTAL DE ALUNOS]]*100</f>
        <v>15.602836879432624</v>
      </c>
      <c r="P25" s="421">
        <f>Tabela317[[#This Row],[Avançado]]*4</f>
        <v>62.411347517730498</v>
      </c>
      <c r="Q25" s="421">
        <f t="shared" si="3"/>
        <v>240.42553191489364</v>
      </c>
      <c r="R25" s="455">
        <f>Tabela317[[#This Row],[Participação]]*100</f>
        <v>97.240000000000009</v>
      </c>
      <c r="S25" s="422">
        <f t="shared" si="4"/>
        <v>240.42553191489364</v>
      </c>
      <c r="T25" s="422">
        <f>Tabela317[[#This Row],[META 2024]]*0.65</f>
        <v>174.06304500000002</v>
      </c>
      <c r="U25" s="421">
        <v>267.78930000000003</v>
      </c>
      <c r="V25" s="422">
        <f t="shared" si="0"/>
        <v>0.70804586094785948</v>
      </c>
      <c r="W25" s="422">
        <f t="shared" si="6"/>
        <v>0.70804586094785948</v>
      </c>
    </row>
    <row r="26" spans="1:23">
      <c r="A26" s="456">
        <v>30</v>
      </c>
      <c r="B26" s="457" t="s">
        <v>163</v>
      </c>
      <c r="C26" s="418">
        <v>61</v>
      </c>
      <c r="D26" s="418">
        <v>50</v>
      </c>
      <c r="E26" s="418">
        <v>38</v>
      </c>
      <c r="F26" s="418">
        <v>56</v>
      </c>
      <c r="G26" s="454">
        <f t="shared" si="2"/>
        <v>205</v>
      </c>
      <c r="H26" s="420">
        <v>0.89129999999999998</v>
      </c>
      <c r="I26" s="421">
        <f>Tabela317[[#This Row],[TOTAL ALUNOS ABAIXO DO BASICO]]/Tabela317[[#This Row],[TOTAL DE ALUNOS]]*100</f>
        <v>29.756097560975608</v>
      </c>
      <c r="J26" s="421">
        <f>Tabela317[[#This Row],[Abaixo do Básico]]*1</f>
        <v>29.756097560975608</v>
      </c>
      <c r="K26" s="421">
        <f>Tabela317[[#This Row],[TOTAL ALUNOS DO BASICO]]/Tabela317[[#This Row],[TOTAL DE ALUNOS]]*100</f>
        <v>24.390243902439025</v>
      </c>
      <c r="L26" s="421">
        <f>Tabela317[[#This Row],[Básico]]*2</f>
        <v>48.780487804878049</v>
      </c>
      <c r="M26" s="421">
        <f>Tabela317[[#This Row],[TOTAL ALUNOS ADEQUADO]]/Tabela317[[#This Row],[TOTAL DE ALUNOS]]*100</f>
        <v>18.536585365853657</v>
      </c>
      <c r="N26" s="421">
        <f>Tabela317[[#This Row],[Adequado]]*3</f>
        <v>55.609756097560975</v>
      </c>
      <c r="O26" s="421">
        <f>Tabela317[[#This Row],[TOTAL DE ALUNOS AVANÇADO]]/Tabela317[[#This Row],[TOTAL DE ALUNOS]]*100</f>
        <v>27.31707317073171</v>
      </c>
      <c r="P26" s="421">
        <f>Tabela317[[#This Row],[Avançado]]*4</f>
        <v>109.26829268292684</v>
      </c>
      <c r="Q26" s="421">
        <f t="shared" si="3"/>
        <v>243.41463414634146</v>
      </c>
      <c r="R26" s="455">
        <f>Tabela317[[#This Row],[Participação]]*100</f>
        <v>89.13</v>
      </c>
      <c r="S26" s="422">
        <f t="shared" si="4"/>
        <v>243.41463414634146</v>
      </c>
      <c r="T26" s="422">
        <f>Tabela317[[#This Row],[META 2024]]*0.65</f>
        <v>153.57381000000001</v>
      </c>
      <c r="U26" s="421">
        <v>236.26740000000001</v>
      </c>
      <c r="V26" s="422">
        <f t="shared" si="0"/>
        <v>1.086430328473361</v>
      </c>
      <c r="W26" s="422">
        <f t="shared" si="6"/>
        <v>1</v>
      </c>
    </row>
    <row r="27" spans="1:23">
      <c r="A27" s="456">
        <v>31</v>
      </c>
      <c r="B27" s="457" t="s">
        <v>119</v>
      </c>
      <c r="C27" s="418">
        <v>11</v>
      </c>
      <c r="D27" s="418">
        <v>18</v>
      </c>
      <c r="E27" s="418">
        <v>21</v>
      </c>
      <c r="F27" s="418">
        <v>18</v>
      </c>
      <c r="G27" s="454">
        <f t="shared" si="2"/>
        <v>68</v>
      </c>
      <c r="H27" s="420">
        <v>0.86080000000000001</v>
      </c>
      <c r="I27" s="421">
        <f>Tabela317[[#This Row],[TOTAL ALUNOS ABAIXO DO BASICO]]/Tabela317[[#This Row],[TOTAL DE ALUNOS]]*100</f>
        <v>16.176470588235293</v>
      </c>
      <c r="J27" s="421">
        <f>Tabela317[[#This Row],[Abaixo do Básico]]*1</f>
        <v>16.176470588235293</v>
      </c>
      <c r="K27" s="421">
        <f>Tabela317[[#This Row],[TOTAL ALUNOS DO BASICO]]/Tabela317[[#This Row],[TOTAL DE ALUNOS]]*100</f>
        <v>26.47058823529412</v>
      </c>
      <c r="L27" s="421">
        <f>Tabela317[[#This Row],[Básico]]*2</f>
        <v>52.941176470588239</v>
      </c>
      <c r="M27" s="421">
        <f>Tabela317[[#This Row],[TOTAL ALUNOS ADEQUADO]]/Tabela317[[#This Row],[TOTAL DE ALUNOS]]*100</f>
        <v>30.882352941176471</v>
      </c>
      <c r="N27" s="421">
        <f>Tabela317[[#This Row],[Adequado]]*3</f>
        <v>92.64705882352942</v>
      </c>
      <c r="O27" s="421">
        <f>Tabela317[[#This Row],[TOTAL DE ALUNOS AVANÇADO]]/Tabela317[[#This Row],[TOTAL DE ALUNOS]]*100</f>
        <v>26.47058823529412</v>
      </c>
      <c r="P27" s="421">
        <f>Tabela317[[#This Row],[Avançado]]*4</f>
        <v>105.88235294117648</v>
      </c>
      <c r="Q27" s="421">
        <f t="shared" si="3"/>
        <v>267.64705882352945</v>
      </c>
      <c r="R27" s="455">
        <f>Tabela317[[#This Row],[Participação]]*100</f>
        <v>86.08</v>
      </c>
      <c r="S27" s="422">
        <f t="shared" si="4"/>
        <v>267.64705882352945</v>
      </c>
      <c r="T27" s="422">
        <f>Tabela317[[#This Row],[META 2024]]*0.65</f>
        <v>192.48098999999999</v>
      </c>
      <c r="U27" s="421">
        <v>296.12459999999999</v>
      </c>
      <c r="V27" s="422">
        <f t="shared" si="0"/>
        <v>0.72523591974005397</v>
      </c>
      <c r="W27" s="422">
        <f t="shared" si="6"/>
        <v>0.72523591974005397</v>
      </c>
    </row>
    <row r="28" spans="1:23">
      <c r="A28" s="456">
        <v>32</v>
      </c>
      <c r="B28" s="457" t="s">
        <v>222</v>
      </c>
      <c r="C28" s="418">
        <v>30</v>
      </c>
      <c r="D28" s="418">
        <v>33</v>
      </c>
      <c r="E28" s="418">
        <v>17</v>
      </c>
      <c r="F28" s="418">
        <v>8</v>
      </c>
      <c r="G28" s="454">
        <f t="shared" si="2"/>
        <v>88</v>
      </c>
      <c r="H28" s="420">
        <v>0.86270000000000002</v>
      </c>
      <c r="I28" s="421">
        <f>Tabela317[[#This Row],[TOTAL ALUNOS ABAIXO DO BASICO]]/Tabela317[[#This Row],[TOTAL DE ALUNOS]]*100</f>
        <v>34.090909090909086</v>
      </c>
      <c r="J28" s="421">
        <f>Tabela317[[#This Row],[Abaixo do Básico]]*1</f>
        <v>34.090909090909086</v>
      </c>
      <c r="K28" s="421">
        <f>Tabela317[[#This Row],[TOTAL ALUNOS DO BASICO]]/Tabela317[[#This Row],[TOTAL DE ALUNOS]]*100</f>
        <v>37.5</v>
      </c>
      <c r="L28" s="421">
        <f>Tabela317[[#This Row],[Básico]]*2</f>
        <v>75</v>
      </c>
      <c r="M28" s="421">
        <f>Tabela317[[#This Row],[TOTAL ALUNOS ADEQUADO]]/Tabela317[[#This Row],[TOTAL DE ALUNOS]]*100</f>
        <v>19.318181818181817</v>
      </c>
      <c r="N28" s="421">
        <f>Tabela317[[#This Row],[Adequado]]*3</f>
        <v>57.954545454545453</v>
      </c>
      <c r="O28" s="421">
        <f>Tabela317[[#This Row],[TOTAL DE ALUNOS AVANÇADO]]/Tabela317[[#This Row],[TOTAL DE ALUNOS]]*100</f>
        <v>9.0909090909090917</v>
      </c>
      <c r="P28" s="421">
        <f>Tabela317[[#This Row],[Avançado]]*4</f>
        <v>36.363636363636367</v>
      </c>
      <c r="Q28" s="421">
        <f t="shared" si="3"/>
        <v>203.40909090909093</v>
      </c>
      <c r="R28" s="455">
        <f>Tabela317[[#This Row],[Participação]]*100</f>
        <v>86.27</v>
      </c>
      <c r="S28" s="422">
        <f t="shared" si="4"/>
        <v>203.40909090909093</v>
      </c>
      <c r="T28" s="422">
        <f>Tabela317[[#This Row],[META 2024]]*0.65</f>
        <v>112.53463000000001</v>
      </c>
      <c r="U28" s="421">
        <v>173.1302</v>
      </c>
      <c r="V28" s="422">
        <f t="shared" si="0"/>
        <v>1.4996881935278592</v>
      </c>
      <c r="W28" s="422">
        <f t="shared" si="6"/>
        <v>1</v>
      </c>
    </row>
    <row r="29" spans="1:23">
      <c r="A29" s="456">
        <v>33</v>
      </c>
      <c r="B29" s="457" t="s">
        <v>73</v>
      </c>
      <c r="C29" s="418">
        <v>57</v>
      </c>
      <c r="D29" s="418">
        <v>21</v>
      </c>
      <c r="E29" s="418">
        <v>26</v>
      </c>
      <c r="F29" s="418">
        <v>8</v>
      </c>
      <c r="G29" s="454">
        <f t="shared" si="2"/>
        <v>112</v>
      </c>
      <c r="H29" s="420">
        <v>0.65500000000000003</v>
      </c>
      <c r="I29" s="421">
        <f>Tabela317[[#This Row],[TOTAL ALUNOS ABAIXO DO BASICO]]/Tabela317[[#This Row],[TOTAL DE ALUNOS]]*100</f>
        <v>50.892857142857139</v>
      </c>
      <c r="J29" s="421">
        <f>Tabela317[[#This Row],[Abaixo do Básico]]*1</f>
        <v>50.892857142857139</v>
      </c>
      <c r="K29" s="421">
        <f>Tabela317[[#This Row],[TOTAL ALUNOS DO BASICO]]/Tabela317[[#This Row],[TOTAL DE ALUNOS]]*100</f>
        <v>18.75</v>
      </c>
      <c r="L29" s="421">
        <f>Tabela317[[#This Row],[Básico]]*2</f>
        <v>37.5</v>
      </c>
      <c r="M29" s="421">
        <f>Tabela317[[#This Row],[TOTAL ALUNOS ADEQUADO]]/Tabela317[[#This Row],[TOTAL DE ALUNOS]]*100</f>
        <v>23.214285714285715</v>
      </c>
      <c r="N29" s="421">
        <f>Tabela317[[#This Row],[Adequado]]*3</f>
        <v>69.642857142857139</v>
      </c>
      <c r="O29" s="421">
        <f>Tabela317[[#This Row],[TOTAL DE ALUNOS AVANÇADO]]/Tabela317[[#This Row],[TOTAL DE ALUNOS]]*100</f>
        <v>7.1428571428571423</v>
      </c>
      <c r="P29" s="421">
        <f>Tabela317[[#This Row],[Avançado]]*4</f>
        <v>28.571428571428569</v>
      </c>
      <c r="Q29" s="421">
        <f t="shared" si="3"/>
        <v>186.60714285714283</v>
      </c>
      <c r="R29" s="455">
        <f>Tabela317[[#This Row],[Participação]]*100</f>
        <v>65.5</v>
      </c>
      <c r="S29" s="422">
        <f t="shared" si="4"/>
        <v>186.60714285714283</v>
      </c>
      <c r="T29" s="422">
        <f>Tabela317[[#This Row],[META 2024]]*0.65</f>
        <v>126.031035</v>
      </c>
      <c r="U29" s="421">
        <v>193.8939</v>
      </c>
      <c r="V29" s="422">
        <f t="shared" si="0"/>
        <v>0.89262526504212325</v>
      </c>
      <c r="W29" s="422">
        <f t="shared" si="6"/>
        <v>0.89262526504212325</v>
      </c>
    </row>
    <row r="30" spans="1:23">
      <c r="A30" s="456">
        <v>34</v>
      </c>
      <c r="B30" s="457" t="s">
        <v>115</v>
      </c>
      <c r="C30" s="418">
        <v>51</v>
      </c>
      <c r="D30" s="418">
        <v>65</v>
      </c>
      <c r="E30" s="418">
        <v>48</v>
      </c>
      <c r="F30" s="418">
        <v>38</v>
      </c>
      <c r="G30" s="454">
        <f t="shared" si="2"/>
        <v>202</v>
      </c>
      <c r="H30" s="420">
        <v>0.87829999999999997</v>
      </c>
      <c r="I30" s="421">
        <f>Tabela317[[#This Row],[TOTAL ALUNOS ABAIXO DO BASICO]]/Tabela317[[#This Row],[TOTAL DE ALUNOS]]*100</f>
        <v>25.247524752475247</v>
      </c>
      <c r="J30" s="421">
        <f>Tabela317[[#This Row],[Abaixo do Básico]]*1</f>
        <v>25.247524752475247</v>
      </c>
      <c r="K30" s="421">
        <f>Tabela317[[#This Row],[TOTAL ALUNOS DO BASICO]]/Tabela317[[#This Row],[TOTAL DE ALUNOS]]*100</f>
        <v>32.178217821782177</v>
      </c>
      <c r="L30" s="421">
        <f>Tabela317[[#This Row],[Básico]]*2</f>
        <v>64.356435643564353</v>
      </c>
      <c r="M30" s="421">
        <f>Tabela317[[#This Row],[TOTAL ALUNOS ADEQUADO]]/Tabela317[[#This Row],[TOTAL DE ALUNOS]]*100</f>
        <v>23.762376237623762</v>
      </c>
      <c r="N30" s="421">
        <f>Tabela317[[#This Row],[Adequado]]*3</f>
        <v>71.287128712871294</v>
      </c>
      <c r="O30" s="421">
        <f>Tabela317[[#This Row],[TOTAL DE ALUNOS AVANÇADO]]/Tabela317[[#This Row],[TOTAL DE ALUNOS]]*100</f>
        <v>18.811881188118811</v>
      </c>
      <c r="P30" s="421">
        <f>Tabela317[[#This Row],[Avançado]]*4</f>
        <v>75.247524752475243</v>
      </c>
      <c r="Q30" s="421">
        <f t="shared" si="3"/>
        <v>236.13861386138612</v>
      </c>
      <c r="R30" s="455">
        <f>Tabela317[[#This Row],[Participação]]*100</f>
        <v>87.83</v>
      </c>
      <c r="S30" s="422">
        <f t="shared" si="4"/>
        <v>236.13861386138612</v>
      </c>
      <c r="T30" s="422">
        <f>Tabela317[[#This Row],[META 2024]]*0.65</f>
        <v>154.67322000000001</v>
      </c>
      <c r="U30" s="421">
        <v>237.9588</v>
      </c>
      <c r="V30" s="422">
        <f t="shared" si="0"/>
        <v>0.97814524268650249</v>
      </c>
      <c r="W30" s="422">
        <f t="shared" si="6"/>
        <v>0.97814524268650249</v>
      </c>
    </row>
    <row r="31" spans="1:23">
      <c r="A31" s="456">
        <v>35</v>
      </c>
      <c r="B31" s="457" t="s">
        <v>200</v>
      </c>
      <c r="C31" s="418">
        <v>36</v>
      </c>
      <c r="D31" s="418">
        <v>50</v>
      </c>
      <c r="E31" s="418">
        <v>56</v>
      </c>
      <c r="F31" s="418">
        <v>47</v>
      </c>
      <c r="G31" s="454">
        <f t="shared" si="2"/>
        <v>189</v>
      </c>
      <c r="H31" s="420">
        <v>0.87909999999999999</v>
      </c>
      <c r="I31" s="421">
        <f>Tabela317[[#This Row],[TOTAL ALUNOS ABAIXO DO BASICO]]/Tabela317[[#This Row],[TOTAL DE ALUNOS]]*100</f>
        <v>19.047619047619047</v>
      </c>
      <c r="J31" s="421">
        <f>Tabela317[[#This Row],[Abaixo do Básico]]*1</f>
        <v>19.047619047619047</v>
      </c>
      <c r="K31" s="421">
        <f>Tabela317[[#This Row],[TOTAL ALUNOS DO BASICO]]/Tabela317[[#This Row],[TOTAL DE ALUNOS]]*100</f>
        <v>26.455026455026452</v>
      </c>
      <c r="L31" s="421">
        <f>Tabela317[[#This Row],[Básico]]*2</f>
        <v>52.910052910052904</v>
      </c>
      <c r="M31" s="421">
        <f>Tabela317[[#This Row],[TOTAL ALUNOS ADEQUADO]]/Tabela317[[#This Row],[TOTAL DE ALUNOS]]*100</f>
        <v>29.629629629629626</v>
      </c>
      <c r="N31" s="421">
        <f>Tabela317[[#This Row],[Adequado]]*3</f>
        <v>88.888888888888886</v>
      </c>
      <c r="O31" s="421">
        <f>Tabela317[[#This Row],[TOTAL DE ALUNOS AVANÇADO]]/Tabela317[[#This Row],[TOTAL DE ALUNOS]]*100</f>
        <v>24.867724867724867</v>
      </c>
      <c r="P31" s="421">
        <f>Tabela317[[#This Row],[Avançado]]*4</f>
        <v>99.470899470899468</v>
      </c>
      <c r="Q31" s="421">
        <f t="shared" si="3"/>
        <v>260.3174603174603</v>
      </c>
      <c r="R31" s="455">
        <f>Tabela317[[#This Row],[Participação]]*100</f>
        <v>87.91</v>
      </c>
      <c r="S31" s="422">
        <f t="shared" si="4"/>
        <v>260.3174603174603</v>
      </c>
      <c r="T31" s="422">
        <f>Tabela317[[#This Row],[META 2024]]*0.65</f>
        <v>178.48246</v>
      </c>
      <c r="U31" s="421">
        <v>274.58839999999998</v>
      </c>
      <c r="V31" s="422">
        <f t="shared" si="0"/>
        <v>0.85150824514551671</v>
      </c>
      <c r="W31" s="422">
        <f t="shared" si="6"/>
        <v>0.85150824514551671</v>
      </c>
    </row>
    <row r="32" spans="1:23">
      <c r="A32" s="456">
        <v>36</v>
      </c>
      <c r="B32" s="457" t="s">
        <v>144</v>
      </c>
      <c r="C32" s="418">
        <v>37</v>
      </c>
      <c r="D32" s="418">
        <v>44</v>
      </c>
      <c r="E32" s="418">
        <v>48</v>
      </c>
      <c r="F32" s="418">
        <v>43</v>
      </c>
      <c r="G32" s="454">
        <f t="shared" si="2"/>
        <v>172</v>
      </c>
      <c r="H32" s="420">
        <v>0.95030000000000003</v>
      </c>
      <c r="I32" s="421">
        <f>Tabela317[[#This Row],[TOTAL ALUNOS ABAIXO DO BASICO]]/Tabela317[[#This Row],[TOTAL DE ALUNOS]]*100</f>
        <v>21.511627906976745</v>
      </c>
      <c r="J32" s="421">
        <f>Tabela317[[#This Row],[Abaixo do Básico]]*1</f>
        <v>21.511627906976745</v>
      </c>
      <c r="K32" s="421">
        <f>Tabela317[[#This Row],[TOTAL ALUNOS DO BASICO]]/Tabela317[[#This Row],[TOTAL DE ALUNOS]]*100</f>
        <v>25.581395348837212</v>
      </c>
      <c r="L32" s="421">
        <f>Tabela317[[#This Row],[Básico]]*2</f>
        <v>51.162790697674424</v>
      </c>
      <c r="M32" s="421">
        <f>Tabela317[[#This Row],[TOTAL ALUNOS ADEQUADO]]/Tabela317[[#This Row],[TOTAL DE ALUNOS]]*100</f>
        <v>27.906976744186046</v>
      </c>
      <c r="N32" s="421">
        <f>Tabela317[[#This Row],[Adequado]]*3</f>
        <v>83.720930232558146</v>
      </c>
      <c r="O32" s="421">
        <f>Tabela317[[#This Row],[TOTAL DE ALUNOS AVANÇADO]]/Tabela317[[#This Row],[TOTAL DE ALUNOS]]*100</f>
        <v>25</v>
      </c>
      <c r="P32" s="421">
        <f>Tabela317[[#This Row],[Avançado]]*4</f>
        <v>100</v>
      </c>
      <c r="Q32" s="421">
        <f t="shared" si="3"/>
        <v>256.39534883720933</v>
      </c>
      <c r="R32" s="455">
        <f>Tabela317[[#This Row],[Participação]]*100</f>
        <v>95.03</v>
      </c>
      <c r="S32" s="422">
        <f t="shared" si="4"/>
        <v>256.39534883720933</v>
      </c>
      <c r="T32" s="422">
        <f>Tabela317[[#This Row],[META 2024]]*0.65</f>
        <v>177.43966500000002</v>
      </c>
      <c r="U32" s="421">
        <v>272.98410000000001</v>
      </c>
      <c r="V32" s="422">
        <f t="shared" si="0"/>
        <v>0.8263765842271118</v>
      </c>
      <c r="W32" s="422">
        <f t="shared" si="6"/>
        <v>0.8263765842271118</v>
      </c>
    </row>
    <row r="33" spans="1:23">
      <c r="A33" s="456">
        <v>37</v>
      </c>
      <c r="B33" s="457" t="s">
        <v>95</v>
      </c>
      <c r="C33" s="418">
        <v>56</v>
      </c>
      <c r="D33" s="418">
        <v>35</v>
      </c>
      <c r="E33" s="418">
        <v>34</v>
      </c>
      <c r="F33" s="418">
        <v>12</v>
      </c>
      <c r="G33" s="454">
        <f t="shared" si="2"/>
        <v>137</v>
      </c>
      <c r="H33" s="420">
        <v>0.93200000000000005</v>
      </c>
      <c r="I33" s="421">
        <f>Tabela317[[#This Row],[TOTAL ALUNOS ABAIXO DO BASICO]]/Tabela317[[#This Row],[TOTAL DE ALUNOS]]*100</f>
        <v>40.875912408759127</v>
      </c>
      <c r="J33" s="421">
        <f>Tabela317[[#This Row],[Abaixo do Básico]]*1</f>
        <v>40.875912408759127</v>
      </c>
      <c r="K33" s="421">
        <f>Tabela317[[#This Row],[TOTAL ALUNOS DO BASICO]]/Tabela317[[#This Row],[TOTAL DE ALUNOS]]*100</f>
        <v>25.547445255474454</v>
      </c>
      <c r="L33" s="421">
        <f>Tabela317[[#This Row],[Básico]]*2</f>
        <v>51.094890510948908</v>
      </c>
      <c r="M33" s="421">
        <f>Tabela317[[#This Row],[TOTAL ALUNOS ADEQUADO]]/Tabela317[[#This Row],[TOTAL DE ALUNOS]]*100</f>
        <v>24.817518248175183</v>
      </c>
      <c r="N33" s="421">
        <f>Tabela317[[#This Row],[Adequado]]*3</f>
        <v>74.452554744525543</v>
      </c>
      <c r="O33" s="421">
        <f>Tabela317[[#This Row],[TOTAL DE ALUNOS AVANÇADO]]/Tabela317[[#This Row],[TOTAL DE ALUNOS]]*100</f>
        <v>8.7591240875912408</v>
      </c>
      <c r="P33" s="421">
        <f>Tabela317[[#This Row],[Avançado]]*4</f>
        <v>35.036496350364963</v>
      </c>
      <c r="Q33" s="421">
        <f t="shared" si="3"/>
        <v>201.45985401459853</v>
      </c>
      <c r="R33" s="455">
        <f>Tabela317[[#This Row],[Participação]]*100</f>
        <v>93.2</v>
      </c>
      <c r="S33" s="422">
        <f t="shared" si="4"/>
        <v>201.45985401459853</v>
      </c>
      <c r="T33" s="422">
        <f>Tabela317[[#This Row],[META 2024]]*0.65</f>
        <v>125.50187000000001</v>
      </c>
      <c r="U33" s="421">
        <v>193.07980000000001</v>
      </c>
      <c r="V33" s="422">
        <f t="shared" si="0"/>
        <v>1.1240057813934006</v>
      </c>
      <c r="W33" s="422">
        <f t="shared" si="6"/>
        <v>1</v>
      </c>
    </row>
    <row r="34" spans="1:23">
      <c r="A34" s="456">
        <v>38</v>
      </c>
      <c r="B34" s="457" t="s">
        <v>130</v>
      </c>
      <c r="C34" s="418">
        <v>27</v>
      </c>
      <c r="D34" s="418">
        <v>20</v>
      </c>
      <c r="E34" s="418">
        <v>15</v>
      </c>
      <c r="F34" s="418">
        <v>4</v>
      </c>
      <c r="G34" s="454">
        <f t="shared" si="2"/>
        <v>66</v>
      </c>
      <c r="H34" s="420">
        <v>0.94289999999999996</v>
      </c>
      <c r="I34" s="421">
        <f>Tabela317[[#This Row],[TOTAL ALUNOS ABAIXO DO BASICO]]/Tabela317[[#This Row],[TOTAL DE ALUNOS]]*100</f>
        <v>40.909090909090914</v>
      </c>
      <c r="J34" s="421">
        <f>Tabela317[[#This Row],[Abaixo do Básico]]*1</f>
        <v>40.909090909090914</v>
      </c>
      <c r="K34" s="421">
        <f>Tabela317[[#This Row],[TOTAL ALUNOS DO BASICO]]/Tabela317[[#This Row],[TOTAL DE ALUNOS]]*100</f>
        <v>30.303030303030305</v>
      </c>
      <c r="L34" s="421">
        <f>Tabela317[[#This Row],[Básico]]*2</f>
        <v>60.606060606060609</v>
      </c>
      <c r="M34" s="421">
        <f>Tabela317[[#This Row],[TOTAL ALUNOS ADEQUADO]]/Tabela317[[#This Row],[TOTAL DE ALUNOS]]*100</f>
        <v>22.727272727272727</v>
      </c>
      <c r="N34" s="421">
        <f>Tabela317[[#This Row],[Adequado]]*3</f>
        <v>68.181818181818187</v>
      </c>
      <c r="O34" s="421">
        <f>Tabela317[[#This Row],[TOTAL DE ALUNOS AVANÇADO]]/Tabela317[[#This Row],[TOTAL DE ALUNOS]]*100</f>
        <v>6.0606060606060606</v>
      </c>
      <c r="P34" s="421">
        <f>Tabela317[[#This Row],[Avançado]]*4</f>
        <v>24.242424242424242</v>
      </c>
      <c r="Q34" s="421">
        <f t="shared" si="3"/>
        <v>193.93939393939397</v>
      </c>
      <c r="R34" s="455">
        <f>Tabela317[[#This Row],[Participação]]*100</f>
        <v>94.289999999999992</v>
      </c>
      <c r="S34" s="422">
        <f t="shared" si="4"/>
        <v>193.93939393939397</v>
      </c>
      <c r="T34" s="422">
        <f>Tabela317[[#This Row],[META 2024]]*0.65</f>
        <v>133.77812500000002</v>
      </c>
      <c r="U34" s="421">
        <v>205.8125</v>
      </c>
      <c r="V34" s="422">
        <f t="shared" si="0"/>
        <v>0.83517444191601531</v>
      </c>
      <c r="W34" s="422">
        <f t="shared" si="6"/>
        <v>0.83517444191601531</v>
      </c>
    </row>
    <row r="35" spans="1:23">
      <c r="A35" s="456">
        <v>39</v>
      </c>
      <c r="B35" s="457" t="s">
        <v>45</v>
      </c>
      <c r="C35" s="418">
        <v>30</v>
      </c>
      <c r="D35" s="418">
        <v>23</v>
      </c>
      <c r="E35" s="418">
        <v>16</v>
      </c>
      <c r="F35" s="418">
        <v>12</v>
      </c>
      <c r="G35" s="454">
        <f t="shared" si="2"/>
        <v>81</v>
      </c>
      <c r="H35" s="420">
        <v>0.82650000000000001</v>
      </c>
      <c r="I35" s="421">
        <f>Tabela317[[#This Row],[TOTAL ALUNOS ABAIXO DO BASICO]]/Tabela317[[#This Row],[TOTAL DE ALUNOS]]*100</f>
        <v>37.037037037037038</v>
      </c>
      <c r="J35" s="421">
        <f>Tabela317[[#This Row],[Abaixo do Básico]]*1</f>
        <v>37.037037037037038</v>
      </c>
      <c r="K35" s="421">
        <f>Tabela317[[#This Row],[TOTAL ALUNOS DO BASICO]]/Tabela317[[#This Row],[TOTAL DE ALUNOS]]*100</f>
        <v>28.39506172839506</v>
      </c>
      <c r="L35" s="421">
        <f>Tabela317[[#This Row],[Básico]]*2</f>
        <v>56.79012345679012</v>
      </c>
      <c r="M35" s="421">
        <f>Tabela317[[#This Row],[TOTAL ALUNOS ADEQUADO]]/Tabela317[[#This Row],[TOTAL DE ALUNOS]]*100</f>
        <v>19.753086419753085</v>
      </c>
      <c r="N35" s="421">
        <f>Tabela317[[#This Row],[Adequado]]*3</f>
        <v>59.259259259259252</v>
      </c>
      <c r="O35" s="421">
        <f>Tabela317[[#This Row],[TOTAL DE ALUNOS AVANÇADO]]/Tabela317[[#This Row],[TOTAL DE ALUNOS]]*100</f>
        <v>14.814814814814813</v>
      </c>
      <c r="P35" s="421">
        <f>Tabela317[[#This Row],[Avançado]]*4</f>
        <v>59.259259259259252</v>
      </c>
      <c r="Q35" s="421">
        <f t="shared" si="3"/>
        <v>212.34567901234567</v>
      </c>
      <c r="R35" s="455">
        <f>Tabela317[[#This Row],[Participação]]*100</f>
        <v>82.65</v>
      </c>
      <c r="S35" s="422">
        <f t="shared" si="4"/>
        <v>212.34567901234567</v>
      </c>
      <c r="T35" s="422">
        <f>Tabela317[[#This Row],[META 2024]]*0.65</f>
        <v>126.877205</v>
      </c>
      <c r="U35" s="421">
        <v>195.19569999999999</v>
      </c>
      <c r="V35" s="422">
        <f t="shared" si="0"/>
        <v>1.2510298128251462</v>
      </c>
      <c r="W35" s="422">
        <f t="shared" si="6"/>
        <v>1</v>
      </c>
    </row>
    <row r="36" spans="1:23">
      <c r="A36" s="456">
        <v>40</v>
      </c>
      <c r="B36" s="457" t="s">
        <v>126</v>
      </c>
      <c r="C36" s="418">
        <v>8</v>
      </c>
      <c r="D36" s="418">
        <v>12</v>
      </c>
      <c r="E36" s="418">
        <v>16</v>
      </c>
      <c r="F36" s="418">
        <v>26</v>
      </c>
      <c r="G36" s="454">
        <f t="shared" si="2"/>
        <v>62</v>
      </c>
      <c r="H36" s="420">
        <v>0.91180000000000005</v>
      </c>
      <c r="I36" s="421">
        <f>Tabela317[[#This Row],[TOTAL ALUNOS ABAIXO DO BASICO]]/Tabela317[[#This Row],[TOTAL DE ALUNOS]]*100</f>
        <v>12.903225806451612</v>
      </c>
      <c r="J36" s="421">
        <f>Tabela317[[#This Row],[Abaixo do Básico]]*1</f>
        <v>12.903225806451612</v>
      </c>
      <c r="K36" s="421">
        <f>Tabela317[[#This Row],[TOTAL ALUNOS DO BASICO]]/Tabela317[[#This Row],[TOTAL DE ALUNOS]]*100</f>
        <v>19.35483870967742</v>
      </c>
      <c r="L36" s="421">
        <f>Tabela317[[#This Row],[Básico]]*2</f>
        <v>38.70967741935484</v>
      </c>
      <c r="M36" s="421">
        <f>Tabela317[[#This Row],[TOTAL ALUNOS ADEQUADO]]/Tabela317[[#This Row],[TOTAL DE ALUNOS]]*100</f>
        <v>25.806451612903224</v>
      </c>
      <c r="N36" s="421">
        <f>Tabela317[[#This Row],[Adequado]]*3</f>
        <v>77.419354838709666</v>
      </c>
      <c r="O36" s="421">
        <f>Tabela317[[#This Row],[TOTAL DE ALUNOS AVANÇADO]]/Tabela317[[#This Row],[TOTAL DE ALUNOS]]*100</f>
        <v>41.935483870967744</v>
      </c>
      <c r="P36" s="421">
        <f>Tabela317[[#This Row],[Avançado]]*4</f>
        <v>167.74193548387098</v>
      </c>
      <c r="Q36" s="421">
        <f t="shared" si="3"/>
        <v>296.77419354838707</v>
      </c>
      <c r="R36" s="455">
        <f>Tabela317[[#This Row],[Participação]]*100</f>
        <v>91.18</v>
      </c>
      <c r="S36" s="422">
        <f t="shared" si="4"/>
        <v>296.77419354838707</v>
      </c>
      <c r="T36" s="422">
        <f>Tabela317[[#This Row],[META 2024]]*0.65</f>
        <v>189.05405999999999</v>
      </c>
      <c r="U36" s="421">
        <v>290.85239999999999</v>
      </c>
      <c r="V36" s="422">
        <f t="shared" si="0"/>
        <v>1.0581718085814276</v>
      </c>
      <c r="W36" s="422">
        <f t="shared" si="6"/>
        <v>1</v>
      </c>
    </row>
    <row r="37" spans="1:23">
      <c r="A37" s="456">
        <v>41</v>
      </c>
      <c r="B37" s="457" t="s">
        <v>58</v>
      </c>
      <c r="C37" s="418">
        <v>80</v>
      </c>
      <c r="D37" s="418">
        <v>84</v>
      </c>
      <c r="E37" s="418">
        <v>83</v>
      </c>
      <c r="F37" s="418">
        <v>66</v>
      </c>
      <c r="G37" s="454">
        <f t="shared" si="2"/>
        <v>313</v>
      </c>
      <c r="H37" s="420">
        <v>0.97509999999999997</v>
      </c>
      <c r="I37" s="421">
        <f>Tabela317[[#This Row],[TOTAL ALUNOS ABAIXO DO BASICO]]/Tabela317[[#This Row],[TOTAL DE ALUNOS]]*100</f>
        <v>25.559105431309902</v>
      </c>
      <c r="J37" s="421">
        <f>Tabela317[[#This Row],[Abaixo do Básico]]*1</f>
        <v>25.559105431309902</v>
      </c>
      <c r="K37" s="421">
        <f>Tabela317[[#This Row],[TOTAL ALUNOS DO BASICO]]/Tabela317[[#This Row],[TOTAL DE ALUNOS]]*100</f>
        <v>26.837060702875398</v>
      </c>
      <c r="L37" s="421">
        <f>Tabela317[[#This Row],[Básico]]*2</f>
        <v>53.674121405750796</v>
      </c>
      <c r="M37" s="421">
        <f>Tabela317[[#This Row],[TOTAL ALUNOS ADEQUADO]]/Tabela317[[#This Row],[TOTAL DE ALUNOS]]*100</f>
        <v>26.517571884984026</v>
      </c>
      <c r="N37" s="421">
        <f>Tabela317[[#This Row],[Adequado]]*3</f>
        <v>79.552715654952081</v>
      </c>
      <c r="O37" s="421">
        <f>Tabela317[[#This Row],[TOTAL DE ALUNOS AVANÇADO]]/Tabela317[[#This Row],[TOTAL DE ALUNOS]]*100</f>
        <v>21.08626198083067</v>
      </c>
      <c r="P37" s="421">
        <f>Tabela317[[#This Row],[Avançado]]*4</f>
        <v>84.345047923322682</v>
      </c>
      <c r="Q37" s="421">
        <f t="shared" si="3"/>
        <v>243.13099041533548</v>
      </c>
      <c r="R37" s="455">
        <f>Tabela317[[#This Row],[Participação]]*100</f>
        <v>97.509999999999991</v>
      </c>
      <c r="S37" s="422">
        <f t="shared" si="4"/>
        <v>243.13099041533548</v>
      </c>
      <c r="T37" s="422">
        <f>Tabela317[[#This Row],[META 2024]]*0.65</f>
        <v>166.73065499999998</v>
      </c>
      <c r="U37" s="421">
        <v>256.50869999999998</v>
      </c>
      <c r="V37" s="422">
        <f t="shared" si="0"/>
        <v>0.850991302108834</v>
      </c>
      <c r="W37" s="422">
        <f t="shared" si="6"/>
        <v>0.850991302108834</v>
      </c>
    </row>
    <row r="38" spans="1:23">
      <c r="A38" s="456">
        <v>42</v>
      </c>
      <c r="B38" s="457" t="s">
        <v>52</v>
      </c>
      <c r="C38" s="418">
        <v>33</v>
      </c>
      <c r="D38" s="418">
        <v>39</v>
      </c>
      <c r="E38" s="418">
        <v>70</v>
      </c>
      <c r="F38" s="418">
        <v>49</v>
      </c>
      <c r="G38" s="454">
        <f t="shared" si="2"/>
        <v>191</v>
      </c>
      <c r="H38" s="420">
        <v>0.90090000000000003</v>
      </c>
      <c r="I38" s="421">
        <f>Tabela317[[#This Row],[TOTAL ALUNOS ABAIXO DO BASICO]]/Tabela317[[#This Row],[TOTAL DE ALUNOS]]*100</f>
        <v>17.277486910994764</v>
      </c>
      <c r="J38" s="421">
        <f>Tabela317[[#This Row],[Abaixo do Básico]]*1</f>
        <v>17.277486910994764</v>
      </c>
      <c r="K38" s="421">
        <f>Tabela317[[#This Row],[TOTAL ALUNOS DO BASICO]]/Tabela317[[#This Row],[TOTAL DE ALUNOS]]*100</f>
        <v>20.418848167539267</v>
      </c>
      <c r="L38" s="421">
        <f>Tabela317[[#This Row],[Básico]]*2</f>
        <v>40.837696335078533</v>
      </c>
      <c r="M38" s="421">
        <f>Tabela317[[#This Row],[TOTAL ALUNOS ADEQUADO]]/Tabela317[[#This Row],[TOTAL DE ALUNOS]]*100</f>
        <v>36.64921465968586</v>
      </c>
      <c r="N38" s="421">
        <f>Tabela317[[#This Row],[Adequado]]*3</f>
        <v>109.94764397905757</v>
      </c>
      <c r="O38" s="421">
        <f>Tabela317[[#This Row],[TOTAL DE ALUNOS AVANÇADO]]/Tabela317[[#This Row],[TOTAL DE ALUNOS]]*100</f>
        <v>25.654450261780106</v>
      </c>
      <c r="P38" s="421">
        <f>Tabela317[[#This Row],[Avançado]]*4</f>
        <v>102.61780104712042</v>
      </c>
      <c r="Q38" s="421">
        <f t="shared" si="3"/>
        <v>270.68062827225128</v>
      </c>
      <c r="R38" s="455">
        <f>Tabela317[[#This Row],[Participação]]*100</f>
        <v>90.09</v>
      </c>
      <c r="S38" s="422">
        <f t="shared" si="4"/>
        <v>270.68062827225128</v>
      </c>
      <c r="T38" s="422">
        <f>Tabela317[[#This Row],[META 2024]]*0.65</f>
        <v>177.40105499999999</v>
      </c>
      <c r="U38" s="421">
        <v>272.92469999999997</v>
      </c>
      <c r="V38" s="422">
        <f t="shared" si="0"/>
        <v>0.97650768322598358</v>
      </c>
      <c r="W38" s="422">
        <f t="shared" si="6"/>
        <v>0.97650768322598358</v>
      </c>
    </row>
    <row r="39" spans="1:23">
      <c r="A39" s="456">
        <v>43</v>
      </c>
      <c r="B39" s="457" t="s">
        <v>175</v>
      </c>
      <c r="C39" s="418">
        <v>41</v>
      </c>
      <c r="D39" s="418">
        <v>45</v>
      </c>
      <c r="E39" s="418">
        <v>57</v>
      </c>
      <c r="F39" s="418">
        <v>48</v>
      </c>
      <c r="G39" s="454">
        <f t="shared" si="2"/>
        <v>191</v>
      </c>
      <c r="H39" s="420">
        <v>0.93169999999999997</v>
      </c>
      <c r="I39" s="421">
        <f>Tabela317[[#This Row],[TOTAL ALUNOS ABAIXO DO BASICO]]/Tabela317[[#This Row],[TOTAL DE ALUNOS]]*100</f>
        <v>21.465968586387437</v>
      </c>
      <c r="J39" s="421">
        <f>Tabela317[[#This Row],[Abaixo do Básico]]*1</f>
        <v>21.465968586387437</v>
      </c>
      <c r="K39" s="421">
        <f>Tabela317[[#This Row],[TOTAL ALUNOS DO BASICO]]/Tabela317[[#This Row],[TOTAL DE ALUNOS]]*100</f>
        <v>23.560209424083769</v>
      </c>
      <c r="L39" s="421">
        <f>Tabela317[[#This Row],[Básico]]*2</f>
        <v>47.120418848167539</v>
      </c>
      <c r="M39" s="421">
        <f>Tabela317[[#This Row],[TOTAL ALUNOS ADEQUADO]]/Tabela317[[#This Row],[TOTAL DE ALUNOS]]*100</f>
        <v>29.842931937172771</v>
      </c>
      <c r="N39" s="421">
        <f>Tabela317[[#This Row],[Adequado]]*3</f>
        <v>89.528795811518307</v>
      </c>
      <c r="O39" s="421">
        <f>Tabela317[[#This Row],[TOTAL DE ALUNOS AVANÇADO]]/Tabela317[[#This Row],[TOTAL DE ALUNOS]]*100</f>
        <v>25.130890052356019</v>
      </c>
      <c r="P39" s="421">
        <f>Tabela317[[#This Row],[Avançado]]*4</f>
        <v>100.52356020942408</v>
      </c>
      <c r="Q39" s="421">
        <f t="shared" si="3"/>
        <v>258.63874345549738</v>
      </c>
      <c r="R39" s="455">
        <f>Tabela317[[#This Row],[Participação]]*100</f>
        <v>93.17</v>
      </c>
      <c r="S39" s="422">
        <f t="shared" si="4"/>
        <v>258.63874345549738</v>
      </c>
      <c r="T39" s="422">
        <f>Tabela317[[#This Row],[META 2024]]*0.65</f>
        <v>171.92447999999999</v>
      </c>
      <c r="U39" s="421">
        <v>264.49919999999997</v>
      </c>
      <c r="V39" s="422">
        <f t="shared" si="0"/>
        <v>0.93669484990608021</v>
      </c>
      <c r="W39" s="422">
        <f t="shared" si="6"/>
        <v>0.93669484990608021</v>
      </c>
    </row>
    <row r="40" spans="1:23">
      <c r="A40" s="456">
        <v>44</v>
      </c>
      <c r="B40" s="457" t="s">
        <v>94</v>
      </c>
      <c r="C40" s="418">
        <v>49</v>
      </c>
      <c r="D40" s="418">
        <v>24</v>
      </c>
      <c r="E40" s="418">
        <v>10</v>
      </c>
      <c r="F40" s="418">
        <v>9</v>
      </c>
      <c r="G40" s="454">
        <f t="shared" si="2"/>
        <v>92</v>
      </c>
      <c r="H40" s="420">
        <v>0.87619999999999998</v>
      </c>
      <c r="I40" s="421">
        <f>Tabela317[[#This Row],[TOTAL ALUNOS ABAIXO DO BASICO]]/Tabela317[[#This Row],[TOTAL DE ALUNOS]]*100</f>
        <v>53.260869565217398</v>
      </c>
      <c r="J40" s="421">
        <f>Tabela317[[#This Row],[Abaixo do Básico]]*1</f>
        <v>53.260869565217398</v>
      </c>
      <c r="K40" s="421">
        <f>Tabela317[[#This Row],[TOTAL ALUNOS DO BASICO]]/Tabela317[[#This Row],[TOTAL DE ALUNOS]]*100</f>
        <v>26.086956521739129</v>
      </c>
      <c r="L40" s="421">
        <f>Tabela317[[#This Row],[Básico]]*2</f>
        <v>52.173913043478258</v>
      </c>
      <c r="M40" s="421">
        <f>Tabela317[[#This Row],[TOTAL ALUNOS ADEQUADO]]/Tabela317[[#This Row],[TOTAL DE ALUNOS]]*100</f>
        <v>10.869565217391305</v>
      </c>
      <c r="N40" s="421">
        <f>Tabela317[[#This Row],[Adequado]]*3</f>
        <v>32.608695652173914</v>
      </c>
      <c r="O40" s="421">
        <f>Tabela317[[#This Row],[TOTAL DE ALUNOS AVANÇADO]]/Tabela317[[#This Row],[TOTAL DE ALUNOS]]*100</f>
        <v>9.7826086956521738</v>
      </c>
      <c r="P40" s="421">
        <f>Tabela317[[#This Row],[Avançado]]*4</f>
        <v>39.130434782608695</v>
      </c>
      <c r="Q40" s="421">
        <f t="shared" si="3"/>
        <v>177.17391304347825</v>
      </c>
      <c r="R40" s="455">
        <f>Tabela317[[#This Row],[Participação]]*100</f>
        <v>87.62</v>
      </c>
      <c r="S40" s="422">
        <f t="shared" si="4"/>
        <v>177.17391304347825</v>
      </c>
      <c r="T40" s="422">
        <f>Tabela317[[#This Row],[META 2024]]*0.65</f>
        <v>130.53287</v>
      </c>
      <c r="U40" s="421">
        <v>200.81979999999999</v>
      </c>
      <c r="V40" s="422">
        <f t="shared" si="0"/>
        <v>0.66358059803548475</v>
      </c>
      <c r="W40" s="422">
        <f t="shared" si="6"/>
        <v>0.66358059803548475</v>
      </c>
    </row>
    <row r="41" spans="1:23">
      <c r="A41" s="456">
        <v>45</v>
      </c>
      <c r="B41" s="457" t="s">
        <v>135</v>
      </c>
      <c r="C41" s="418">
        <v>43</v>
      </c>
      <c r="D41" s="418">
        <v>44</v>
      </c>
      <c r="E41" s="418">
        <v>54</v>
      </c>
      <c r="F41" s="418">
        <v>31</v>
      </c>
      <c r="G41" s="454">
        <f t="shared" si="2"/>
        <v>172</v>
      </c>
      <c r="H41" s="420">
        <v>0.8821</v>
      </c>
      <c r="I41" s="421">
        <f>Tabela317[[#This Row],[TOTAL ALUNOS ABAIXO DO BASICO]]/Tabela317[[#This Row],[TOTAL DE ALUNOS]]*100</f>
        <v>25</v>
      </c>
      <c r="J41" s="421">
        <f>Tabela317[[#This Row],[Abaixo do Básico]]*1</f>
        <v>25</v>
      </c>
      <c r="K41" s="421">
        <f>Tabela317[[#This Row],[TOTAL ALUNOS DO BASICO]]/Tabela317[[#This Row],[TOTAL DE ALUNOS]]*100</f>
        <v>25.581395348837212</v>
      </c>
      <c r="L41" s="421">
        <f>Tabela317[[#This Row],[Básico]]*2</f>
        <v>51.162790697674424</v>
      </c>
      <c r="M41" s="421">
        <f>Tabela317[[#This Row],[TOTAL ALUNOS ADEQUADO]]/Tabela317[[#This Row],[TOTAL DE ALUNOS]]*100</f>
        <v>31.395348837209301</v>
      </c>
      <c r="N41" s="421">
        <f>Tabela317[[#This Row],[Adequado]]*3</f>
        <v>94.186046511627907</v>
      </c>
      <c r="O41" s="421">
        <f>Tabela317[[#This Row],[TOTAL DE ALUNOS AVANÇADO]]/Tabela317[[#This Row],[TOTAL DE ALUNOS]]*100</f>
        <v>18.023255813953487</v>
      </c>
      <c r="P41" s="421">
        <f>Tabela317[[#This Row],[Avançado]]*4</f>
        <v>72.093023255813947</v>
      </c>
      <c r="Q41" s="421">
        <f t="shared" si="3"/>
        <v>242.44186046511629</v>
      </c>
      <c r="R41" s="455">
        <f>Tabela317[[#This Row],[Participação]]*100</f>
        <v>88.21</v>
      </c>
      <c r="S41" s="422">
        <f t="shared" si="4"/>
        <v>242.44186046511629</v>
      </c>
      <c r="T41" s="422">
        <f>Tabela317[[#This Row],[META 2024]]*0.65</f>
        <v>168.98739</v>
      </c>
      <c r="U41" s="421">
        <v>259.98059999999998</v>
      </c>
      <c r="V41" s="422">
        <f t="shared" si="0"/>
        <v>0.80725221656776702</v>
      </c>
      <c r="W41" s="422">
        <f t="shared" si="6"/>
        <v>0.80725221656776702</v>
      </c>
    </row>
    <row r="42" spans="1:23">
      <c r="A42" s="456">
        <v>46</v>
      </c>
      <c r="B42" s="457" t="s">
        <v>213</v>
      </c>
      <c r="C42" s="418">
        <v>33</v>
      </c>
      <c r="D42" s="418">
        <v>17</v>
      </c>
      <c r="E42" s="418">
        <v>12</v>
      </c>
      <c r="F42" s="418">
        <v>5</v>
      </c>
      <c r="G42" s="454">
        <f t="shared" si="2"/>
        <v>67</v>
      </c>
      <c r="H42" s="420">
        <v>0.71279999999999999</v>
      </c>
      <c r="I42" s="421">
        <f>Tabela317[[#This Row],[TOTAL ALUNOS ABAIXO DO BASICO]]/Tabela317[[#This Row],[TOTAL DE ALUNOS]]*100</f>
        <v>49.253731343283583</v>
      </c>
      <c r="J42" s="421">
        <f>Tabela317[[#This Row],[Abaixo do Básico]]*1</f>
        <v>49.253731343283583</v>
      </c>
      <c r="K42" s="421">
        <f>Tabela317[[#This Row],[TOTAL ALUNOS DO BASICO]]/Tabela317[[#This Row],[TOTAL DE ALUNOS]]*100</f>
        <v>25.373134328358208</v>
      </c>
      <c r="L42" s="421">
        <f>Tabela317[[#This Row],[Básico]]*2</f>
        <v>50.746268656716417</v>
      </c>
      <c r="M42" s="421">
        <f>Tabela317[[#This Row],[TOTAL ALUNOS ADEQUADO]]/Tabela317[[#This Row],[TOTAL DE ALUNOS]]*100</f>
        <v>17.910447761194028</v>
      </c>
      <c r="N42" s="421">
        <f>Tabela317[[#This Row],[Adequado]]*3</f>
        <v>53.731343283582085</v>
      </c>
      <c r="O42" s="421">
        <f>Tabela317[[#This Row],[TOTAL DE ALUNOS AVANÇADO]]/Tabela317[[#This Row],[TOTAL DE ALUNOS]]*100</f>
        <v>7.4626865671641784</v>
      </c>
      <c r="P42" s="421">
        <f>Tabela317[[#This Row],[Avançado]]*4</f>
        <v>29.850746268656714</v>
      </c>
      <c r="Q42" s="421">
        <f t="shared" si="3"/>
        <v>183.58208955223878</v>
      </c>
      <c r="R42" s="455">
        <f>Tabela317[[#This Row],[Participação]]*100</f>
        <v>71.28</v>
      </c>
      <c r="S42" s="422">
        <f t="shared" si="4"/>
        <v>183.58208955223878</v>
      </c>
      <c r="T42" s="422">
        <f>Tabela317[[#This Row],[META 2024]]*0.65</f>
        <v>68.152630000000002</v>
      </c>
      <c r="U42" s="421">
        <v>104.8502</v>
      </c>
      <c r="V42" s="422">
        <f t="shared" si="0"/>
        <v>3.1454251481021438</v>
      </c>
      <c r="W42" s="422">
        <f t="shared" si="6"/>
        <v>1</v>
      </c>
    </row>
    <row r="43" spans="1:23">
      <c r="A43" s="456">
        <v>47</v>
      </c>
      <c r="B43" s="457" t="s">
        <v>152</v>
      </c>
      <c r="C43" s="418">
        <v>39</v>
      </c>
      <c r="D43" s="418">
        <v>15</v>
      </c>
      <c r="E43" s="418">
        <v>22</v>
      </c>
      <c r="F43" s="418">
        <v>17</v>
      </c>
      <c r="G43" s="454">
        <f t="shared" si="2"/>
        <v>93</v>
      </c>
      <c r="H43" s="420">
        <v>0.78810000000000002</v>
      </c>
      <c r="I43" s="421">
        <f>Tabela317[[#This Row],[TOTAL ALUNOS ABAIXO DO BASICO]]/Tabela317[[#This Row],[TOTAL DE ALUNOS]]*100</f>
        <v>41.935483870967744</v>
      </c>
      <c r="J43" s="421">
        <f>Tabela317[[#This Row],[Abaixo do Básico]]*1</f>
        <v>41.935483870967744</v>
      </c>
      <c r="K43" s="421">
        <f>Tabela317[[#This Row],[TOTAL ALUNOS DO BASICO]]/Tabela317[[#This Row],[TOTAL DE ALUNOS]]*100</f>
        <v>16.129032258064516</v>
      </c>
      <c r="L43" s="421">
        <f>Tabela317[[#This Row],[Básico]]*2</f>
        <v>32.258064516129032</v>
      </c>
      <c r="M43" s="421">
        <f>Tabela317[[#This Row],[TOTAL ALUNOS ADEQUADO]]/Tabela317[[#This Row],[TOTAL DE ALUNOS]]*100</f>
        <v>23.655913978494624</v>
      </c>
      <c r="N43" s="421">
        <f>Tabela317[[#This Row],[Adequado]]*3</f>
        <v>70.967741935483872</v>
      </c>
      <c r="O43" s="421">
        <f>Tabela317[[#This Row],[TOTAL DE ALUNOS AVANÇADO]]/Tabela317[[#This Row],[TOTAL DE ALUNOS]]*100</f>
        <v>18.27956989247312</v>
      </c>
      <c r="P43" s="421">
        <f>Tabela317[[#This Row],[Avançado]]*4</f>
        <v>73.118279569892479</v>
      </c>
      <c r="Q43" s="421">
        <f t="shared" si="3"/>
        <v>218.27956989247312</v>
      </c>
      <c r="R43" s="455">
        <f>Tabela317[[#This Row],[Participação]]*100</f>
        <v>78.81</v>
      </c>
      <c r="S43" s="422">
        <f t="shared" si="4"/>
        <v>218.27956989247312</v>
      </c>
      <c r="T43" s="422">
        <f>Tabela317[[#This Row],[META 2024]]*0.65</f>
        <v>118.02764999999999</v>
      </c>
      <c r="U43" s="421">
        <v>181.58099999999999</v>
      </c>
      <c r="V43" s="422">
        <f t="shared" si="0"/>
        <v>1.5774450897155403</v>
      </c>
      <c r="W43" s="422">
        <f t="shared" si="6"/>
        <v>1</v>
      </c>
    </row>
    <row r="44" spans="1:23">
      <c r="A44" s="456">
        <v>48</v>
      </c>
      <c r="B44" s="457" t="s">
        <v>146</v>
      </c>
      <c r="C44" s="418">
        <v>29</v>
      </c>
      <c r="D44" s="418">
        <v>35</v>
      </c>
      <c r="E44" s="418">
        <v>45</v>
      </c>
      <c r="F44" s="418">
        <v>26</v>
      </c>
      <c r="G44" s="454">
        <f t="shared" si="2"/>
        <v>135</v>
      </c>
      <c r="H44" s="420">
        <v>0.94410000000000005</v>
      </c>
      <c r="I44" s="421">
        <f>Tabela317[[#This Row],[TOTAL ALUNOS ABAIXO DO BASICO]]/Tabela317[[#This Row],[TOTAL DE ALUNOS]]*100</f>
        <v>21.481481481481481</v>
      </c>
      <c r="J44" s="421">
        <f>Tabela317[[#This Row],[Abaixo do Básico]]*1</f>
        <v>21.481481481481481</v>
      </c>
      <c r="K44" s="421">
        <f>Tabela317[[#This Row],[TOTAL ALUNOS DO BASICO]]/Tabela317[[#This Row],[TOTAL DE ALUNOS]]*100</f>
        <v>25.925925925925924</v>
      </c>
      <c r="L44" s="421">
        <f>Tabela317[[#This Row],[Básico]]*2</f>
        <v>51.851851851851848</v>
      </c>
      <c r="M44" s="421">
        <f>Tabela317[[#This Row],[TOTAL ALUNOS ADEQUADO]]/Tabela317[[#This Row],[TOTAL DE ALUNOS]]*100</f>
        <v>33.333333333333329</v>
      </c>
      <c r="N44" s="421">
        <f>Tabela317[[#This Row],[Adequado]]*3</f>
        <v>99.999999999999986</v>
      </c>
      <c r="O44" s="421">
        <f>Tabela317[[#This Row],[TOTAL DE ALUNOS AVANÇADO]]/Tabela317[[#This Row],[TOTAL DE ALUNOS]]*100</f>
        <v>19.25925925925926</v>
      </c>
      <c r="P44" s="421">
        <f>Tabela317[[#This Row],[Avançado]]*4</f>
        <v>77.037037037037038</v>
      </c>
      <c r="Q44" s="421">
        <f t="shared" si="3"/>
        <v>250.37037037037035</v>
      </c>
      <c r="R44" s="455">
        <f>Tabela317[[#This Row],[Participação]]*100</f>
        <v>94.410000000000011</v>
      </c>
      <c r="S44" s="422">
        <f t="shared" si="4"/>
        <v>250.37037037037035</v>
      </c>
      <c r="T44" s="422">
        <f>Tabela317[[#This Row],[META 2024]]*0.65</f>
        <v>165.38885999999999</v>
      </c>
      <c r="U44" s="421">
        <v>254.4444</v>
      </c>
      <c r="V44" s="422">
        <f t="shared" si="0"/>
        <v>0.95425293440891323</v>
      </c>
      <c r="W44" s="422">
        <f t="shared" si="6"/>
        <v>0.95425293440891323</v>
      </c>
    </row>
    <row r="45" spans="1:23">
      <c r="A45" s="456">
        <v>49</v>
      </c>
      <c r="B45" s="457" t="s">
        <v>166</v>
      </c>
      <c r="C45" s="418">
        <v>26</v>
      </c>
      <c r="D45" s="418">
        <v>14</v>
      </c>
      <c r="E45" s="418">
        <v>12</v>
      </c>
      <c r="F45" s="418">
        <v>2</v>
      </c>
      <c r="G45" s="454">
        <f t="shared" si="2"/>
        <v>54</v>
      </c>
      <c r="H45" s="420">
        <v>0.94740000000000002</v>
      </c>
      <c r="I45" s="421">
        <f>Tabela317[[#This Row],[TOTAL ALUNOS ABAIXO DO BASICO]]/Tabela317[[#This Row],[TOTAL DE ALUNOS]]*100</f>
        <v>48.148148148148145</v>
      </c>
      <c r="J45" s="421">
        <f>Tabela317[[#This Row],[Abaixo do Básico]]*1</f>
        <v>48.148148148148145</v>
      </c>
      <c r="K45" s="421">
        <f>Tabela317[[#This Row],[TOTAL ALUNOS DO BASICO]]/Tabela317[[#This Row],[TOTAL DE ALUNOS]]*100</f>
        <v>25.925925925925924</v>
      </c>
      <c r="L45" s="421">
        <f>Tabela317[[#This Row],[Básico]]*2</f>
        <v>51.851851851851848</v>
      </c>
      <c r="M45" s="421">
        <f>Tabela317[[#This Row],[TOTAL ALUNOS ADEQUADO]]/Tabela317[[#This Row],[TOTAL DE ALUNOS]]*100</f>
        <v>22.222222222222221</v>
      </c>
      <c r="N45" s="421">
        <f>Tabela317[[#This Row],[Adequado]]*3</f>
        <v>66.666666666666657</v>
      </c>
      <c r="O45" s="421">
        <f>Tabela317[[#This Row],[TOTAL DE ALUNOS AVANÇADO]]/Tabela317[[#This Row],[TOTAL DE ALUNOS]]*100</f>
        <v>3.7037037037037033</v>
      </c>
      <c r="P45" s="421">
        <f>Tabela317[[#This Row],[Avançado]]*4</f>
        <v>14.814814814814813</v>
      </c>
      <c r="Q45" s="421">
        <f t="shared" si="3"/>
        <v>181.48148148148147</v>
      </c>
      <c r="R45" s="455">
        <f>Tabela317[[#This Row],[Participação]]*100</f>
        <v>94.740000000000009</v>
      </c>
      <c r="S45" s="422">
        <f t="shared" si="4"/>
        <v>181.48148148148147</v>
      </c>
      <c r="T45" s="422">
        <f>Tabela317[[#This Row],[META 2024]]*0.65</f>
        <v>122.99664</v>
      </c>
      <c r="U45" s="421">
        <v>189.22559999999999</v>
      </c>
      <c r="V45" s="422">
        <f t="shared" si="0"/>
        <v>0.88307050996243153</v>
      </c>
      <c r="W45" s="422">
        <f t="shared" si="6"/>
        <v>0.88307050996243153</v>
      </c>
    </row>
    <row r="46" spans="1:23">
      <c r="A46" s="456">
        <v>50</v>
      </c>
      <c r="B46" s="457" t="s">
        <v>116</v>
      </c>
      <c r="C46" s="418">
        <v>55</v>
      </c>
      <c r="D46" s="418">
        <v>63</v>
      </c>
      <c r="E46" s="418">
        <v>46</v>
      </c>
      <c r="F46" s="418">
        <v>29</v>
      </c>
      <c r="G46" s="454">
        <f t="shared" si="2"/>
        <v>193</v>
      </c>
      <c r="H46" s="420">
        <v>0.76890000000000003</v>
      </c>
      <c r="I46" s="421">
        <f>Tabela317[[#This Row],[TOTAL ALUNOS ABAIXO DO BASICO]]/Tabela317[[#This Row],[TOTAL DE ALUNOS]]*100</f>
        <v>28.497409326424872</v>
      </c>
      <c r="J46" s="421">
        <f>Tabela317[[#This Row],[Abaixo do Básico]]*1</f>
        <v>28.497409326424872</v>
      </c>
      <c r="K46" s="421">
        <f>Tabela317[[#This Row],[TOTAL ALUNOS DO BASICO]]/Tabela317[[#This Row],[TOTAL DE ALUNOS]]*100</f>
        <v>32.642487046632127</v>
      </c>
      <c r="L46" s="421">
        <f>Tabela317[[#This Row],[Básico]]*2</f>
        <v>65.284974093264253</v>
      </c>
      <c r="M46" s="421">
        <f>Tabela317[[#This Row],[TOTAL ALUNOS ADEQUADO]]/Tabela317[[#This Row],[TOTAL DE ALUNOS]]*100</f>
        <v>23.834196891191709</v>
      </c>
      <c r="N46" s="421">
        <f>Tabela317[[#This Row],[Adequado]]*3</f>
        <v>71.502590673575128</v>
      </c>
      <c r="O46" s="421">
        <f>Tabela317[[#This Row],[TOTAL DE ALUNOS AVANÇADO]]/Tabela317[[#This Row],[TOTAL DE ALUNOS]]*100</f>
        <v>15.025906735751295</v>
      </c>
      <c r="P46" s="421">
        <f>Tabela317[[#This Row],[Avançado]]*4</f>
        <v>60.103626943005182</v>
      </c>
      <c r="Q46" s="421">
        <f t="shared" si="3"/>
        <v>225.38860103626945</v>
      </c>
      <c r="R46" s="455">
        <f>Tabela317[[#This Row],[Participação]]*100</f>
        <v>76.89</v>
      </c>
      <c r="S46" s="422">
        <f t="shared" si="4"/>
        <v>225.38860103626945</v>
      </c>
      <c r="T46" s="422">
        <f>Tabela317[[#This Row],[META 2024]]*0.65</f>
        <v>151.499335</v>
      </c>
      <c r="U46" s="421">
        <v>233.07589999999999</v>
      </c>
      <c r="V46" s="422">
        <f t="shared" si="0"/>
        <v>0.90576584140640704</v>
      </c>
      <c r="W46" s="422">
        <f t="shared" si="6"/>
        <v>0.90576584140640704</v>
      </c>
    </row>
    <row r="47" spans="1:23">
      <c r="A47" s="456">
        <v>51</v>
      </c>
      <c r="B47" s="457" t="s">
        <v>210</v>
      </c>
      <c r="C47" s="418">
        <v>51</v>
      </c>
      <c r="D47" s="418">
        <v>67</v>
      </c>
      <c r="E47" s="418">
        <v>46</v>
      </c>
      <c r="F47" s="418">
        <v>33</v>
      </c>
      <c r="G47" s="454">
        <f t="shared" si="2"/>
        <v>197</v>
      </c>
      <c r="H47" s="420">
        <v>0.92490000000000006</v>
      </c>
      <c r="I47" s="421">
        <f>Tabela317[[#This Row],[TOTAL ALUNOS ABAIXO DO BASICO]]/Tabela317[[#This Row],[TOTAL DE ALUNOS]]*100</f>
        <v>25.888324873096447</v>
      </c>
      <c r="J47" s="421">
        <f>Tabela317[[#This Row],[Abaixo do Básico]]*1</f>
        <v>25.888324873096447</v>
      </c>
      <c r="K47" s="421">
        <f>Tabela317[[#This Row],[TOTAL ALUNOS DO BASICO]]/Tabela317[[#This Row],[TOTAL DE ALUNOS]]*100</f>
        <v>34.01015228426396</v>
      </c>
      <c r="L47" s="421">
        <f>Tabela317[[#This Row],[Básico]]*2</f>
        <v>68.020304568527919</v>
      </c>
      <c r="M47" s="421">
        <f>Tabela317[[#This Row],[TOTAL ALUNOS ADEQUADO]]/Tabela317[[#This Row],[TOTAL DE ALUNOS]]*100</f>
        <v>23.350253807106601</v>
      </c>
      <c r="N47" s="421">
        <f>Tabela317[[#This Row],[Adequado]]*3</f>
        <v>70.050761421319805</v>
      </c>
      <c r="O47" s="421">
        <f>Tabela317[[#This Row],[TOTAL DE ALUNOS AVANÇADO]]/Tabela317[[#This Row],[TOTAL DE ALUNOS]]*100</f>
        <v>16.751269035532996</v>
      </c>
      <c r="P47" s="421">
        <f>Tabela317[[#This Row],[Avançado]]*4</f>
        <v>67.005076142131983</v>
      </c>
      <c r="Q47" s="421">
        <f t="shared" si="3"/>
        <v>230.96446700507619</v>
      </c>
      <c r="R47" s="455">
        <f>Tabela317[[#This Row],[Participação]]*100</f>
        <v>92.490000000000009</v>
      </c>
      <c r="S47" s="422">
        <f t="shared" si="4"/>
        <v>230.96446700507619</v>
      </c>
      <c r="T47" s="422">
        <f>Tabela317[[#This Row],[META 2024]]*0.65</f>
        <v>139.76917500000002</v>
      </c>
      <c r="U47" s="421">
        <v>215.02950000000001</v>
      </c>
      <c r="V47" s="422">
        <f t="shared" si="0"/>
        <v>1.2117313073664799</v>
      </c>
      <c r="W47" s="422">
        <f t="shared" si="6"/>
        <v>1</v>
      </c>
    </row>
    <row r="48" spans="1:23">
      <c r="A48" s="456">
        <v>52</v>
      </c>
      <c r="B48" s="457" t="s">
        <v>197</v>
      </c>
      <c r="C48" s="418">
        <v>22</v>
      </c>
      <c r="D48" s="418">
        <v>17</v>
      </c>
      <c r="E48" s="418">
        <v>17</v>
      </c>
      <c r="F48" s="418">
        <v>7</v>
      </c>
      <c r="G48" s="454">
        <f t="shared" si="2"/>
        <v>63</v>
      </c>
      <c r="H48" s="420">
        <v>0.9</v>
      </c>
      <c r="I48" s="421">
        <f>Tabela317[[#This Row],[TOTAL ALUNOS ABAIXO DO BASICO]]/Tabela317[[#This Row],[TOTAL DE ALUNOS]]*100</f>
        <v>34.920634920634917</v>
      </c>
      <c r="J48" s="421">
        <f>Tabela317[[#This Row],[Abaixo do Básico]]*1</f>
        <v>34.920634920634917</v>
      </c>
      <c r="K48" s="421">
        <f>Tabela317[[#This Row],[TOTAL ALUNOS DO BASICO]]/Tabela317[[#This Row],[TOTAL DE ALUNOS]]*100</f>
        <v>26.984126984126984</v>
      </c>
      <c r="L48" s="421">
        <f>Tabela317[[#This Row],[Básico]]*2</f>
        <v>53.968253968253968</v>
      </c>
      <c r="M48" s="421">
        <f>Tabela317[[#This Row],[TOTAL ALUNOS ADEQUADO]]/Tabela317[[#This Row],[TOTAL DE ALUNOS]]*100</f>
        <v>26.984126984126984</v>
      </c>
      <c r="N48" s="421">
        <f>Tabela317[[#This Row],[Adequado]]*3</f>
        <v>80.952380952380949</v>
      </c>
      <c r="O48" s="421">
        <f>Tabela317[[#This Row],[TOTAL DE ALUNOS AVANÇADO]]/Tabela317[[#This Row],[TOTAL DE ALUNOS]]*100</f>
        <v>11.111111111111111</v>
      </c>
      <c r="P48" s="421">
        <f>Tabela317[[#This Row],[Avançado]]*4</f>
        <v>44.444444444444443</v>
      </c>
      <c r="Q48" s="421">
        <f t="shared" si="3"/>
        <v>214.28571428571428</v>
      </c>
      <c r="R48" s="455">
        <f>Tabela317[[#This Row],[Participação]]*100</f>
        <v>90</v>
      </c>
      <c r="S48" s="422">
        <f t="shared" si="4"/>
        <v>214.28571428571428</v>
      </c>
      <c r="T48" s="422">
        <f>Tabela317[[#This Row],[META 2024]]*0.65</f>
        <v>139.73908</v>
      </c>
      <c r="U48" s="421">
        <v>214.98320000000001</v>
      </c>
      <c r="V48" s="422">
        <f t="shared" si="0"/>
        <v>0.99073036252818514</v>
      </c>
      <c r="W48" s="422">
        <f t="shared" si="6"/>
        <v>0.99073036252818514</v>
      </c>
    </row>
    <row r="49" spans="1:23">
      <c r="A49" s="456">
        <v>53</v>
      </c>
      <c r="B49" s="457" t="s">
        <v>201</v>
      </c>
      <c r="C49" s="418">
        <v>45</v>
      </c>
      <c r="D49" s="418">
        <v>32</v>
      </c>
      <c r="E49" s="418">
        <v>22</v>
      </c>
      <c r="F49" s="418">
        <v>10</v>
      </c>
      <c r="G49" s="454">
        <f t="shared" si="2"/>
        <v>109</v>
      </c>
      <c r="H49" s="420">
        <v>0.85160000000000002</v>
      </c>
      <c r="I49" s="421">
        <f>Tabela317[[#This Row],[TOTAL ALUNOS ABAIXO DO BASICO]]/Tabela317[[#This Row],[TOTAL DE ALUNOS]]*100</f>
        <v>41.284403669724774</v>
      </c>
      <c r="J49" s="421">
        <f>Tabela317[[#This Row],[Abaixo do Básico]]*1</f>
        <v>41.284403669724774</v>
      </c>
      <c r="K49" s="421">
        <f>Tabela317[[#This Row],[TOTAL ALUNOS DO BASICO]]/Tabela317[[#This Row],[TOTAL DE ALUNOS]]*100</f>
        <v>29.357798165137616</v>
      </c>
      <c r="L49" s="421">
        <f>Tabela317[[#This Row],[Básico]]*2</f>
        <v>58.715596330275233</v>
      </c>
      <c r="M49" s="421">
        <f>Tabela317[[#This Row],[TOTAL ALUNOS ADEQUADO]]/Tabela317[[#This Row],[TOTAL DE ALUNOS]]*100</f>
        <v>20.183486238532112</v>
      </c>
      <c r="N49" s="421">
        <f>Tabela317[[#This Row],[Adequado]]*3</f>
        <v>60.550458715596335</v>
      </c>
      <c r="O49" s="421">
        <f>Tabela317[[#This Row],[TOTAL DE ALUNOS AVANÇADO]]/Tabela317[[#This Row],[TOTAL DE ALUNOS]]*100</f>
        <v>9.1743119266055047</v>
      </c>
      <c r="P49" s="421">
        <f>Tabela317[[#This Row],[Avançado]]*4</f>
        <v>36.697247706422019</v>
      </c>
      <c r="Q49" s="421">
        <f t="shared" si="3"/>
        <v>197.24770642201835</v>
      </c>
      <c r="R49" s="455">
        <f>Tabela317[[#This Row],[Participação]]*100</f>
        <v>85.16</v>
      </c>
      <c r="S49" s="422">
        <f t="shared" si="4"/>
        <v>197.24770642201835</v>
      </c>
      <c r="T49" s="422">
        <f>Tabela317[[#This Row],[META 2024]]*0.65</f>
        <v>132.06641500000001</v>
      </c>
      <c r="U49" s="421">
        <v>203.17910000000001</v>
      </c>
      <c r="V49" s="422">
        <f t="shared" si="0"/>
        <v>0.91659162387158277</v>
      </c>
      <c r="W49" s="422">
        <f t="shared" si="6"/>
        <v>0.91659162387158277</v>
      </c>
    </row>
    <row r="50" spans="1:23">
      <c r="A50" s="456">
        <v>54</v>
      </c>
      <c r="B50" s="457" t="s">
        <v>106</v>
      </c>
      <c r="C50" s="418">
        <v>43</v>
      </c>
      <c r="D50" s="418">
        <v>43</v>
      </c>
      <c r="E50" s="418">
        <v>47</v>
      </c>
      <c r="F50" s="418">
        <v>25</v>
      </c>
      <c r="G50" s="454">
        <f t="shared" si="2"/>
        <v>158</v>
      </c>
      <c r="H50" s="420">
        <v>0.87290000000000001</v>
      </c>
      <c r="I50" s="421">
        <f>Tabela317[[#This Row],[TOTAL ALUNOS ABAIXO DO BASICO]]/Tabela317[[#This Row],[TOTAL DE ALUNOS]]*100</f>
        <v>27.215189873417721</v>
      </c>
      <c r="J50" s="421">
        <f>Tabela317[[#This Row],[Abaixo do Básico]]*1</f>
        <v>27.215189873417721</v>
      </c>
      <c r="K50" s="421">
        <f>Tabela317[[#This Row],[TOTAL ALUNOS DO BASICO]]/Tabela317[[#This Row],[TOTAL DE ALUNOS]]*100</f>
        <v>27.215189873417721</v>
      </c>
      <c r="L50" s="421">
        <f>Tabela317[[#This Row],[Básico]]*2</f>
        <v>54.430379746835442</v>
      </c>
      <c r="M50" s="421">
        <f>Tabela317[[#This Row],[TOTAL ALUNOS ADEQUADO]]/Tabela317[[#This Row],[TOTAL DE ALUNOS]]*100</f>
        <v>29.746835443037973</v>
      </c>
      <c r="N50" s="421">
        <f>Tabela317[[#This Row],[Adequado]]*3</f>
        <v>89.240506329113913</v>
      </c>
      <c r="O50" s="421">
        <f>Tabela317[[#This Row],[TOTAL DE ALUNOS AVANÇADO]]/Tabela317[[#This Row],[TOTAL DE ALUNOS]]*100</f>
        <v>15.822784810126583</v>
      </c>
      <c r="P50" s="421">
        <f>Tabela317[[#This Row],[Avançado]]*4</f>
        <v>63.291139240506332</v>
      </c>
      <c r="Q50" s="421">
        <f t="shared" si="3"/>
        <v>234.17721518987341</v>
      </c>
      <c r="R50" s="455">
        <f>Tabela317[[#This Row],[Participação]]*100</f>
        <v>87.29</v>
      </c>
      <c r="S50" s="422">
        <f t="shared" si="4"/>
        <v>234.17721518987341</v>
      </c>
      <c r="T50" s="422">
        <f>Tabela317[[#This Row],[META 2024]]*0.65</f>
        <v>167.24487000000002</v>
      </c>
      <c r="U50" s="421">
        <v>257.2998</v>
      </c>
      <c r="V50" s="422">
        <f t="shared" si="0"/>
        <v>0.74323910073411192</v>
      </c>
      <c r="W50" s="422">
        <f t="shared" si="6"/>
        <v>0.74323910073411192</v>
      </c>
    </row>
    <row r="51" spans="1:23">
      <c r="A51" s="456">
        <v>55</v>
      </c>
      <c r="B51" s="457" t="s">
        <v>81</v>
      </c>
      <c r="C51" s="418">
        <v>68</v>
      </c>
      <c r="D51" s="418">
        <v>35</v>
      </c>
      <c r="E51" s="418">
        <v>25</v>
      </c>
      <c r="F51" s="418">
        <v>22</v>
      </c>
      <c r="G51" s="454">
        <f t="shared" si="2"/>
        <v>150</v>
      </c>
      <c r="H51" s="420">
        <v>0.83799999999999997</v>
      </c>
      <c r="I51" s="421">
        <f>Tabela317[[#This Row],[TOTAL ALUNOS ABAIXO DO BASICO]]/Tabela317[[#This Row],[TOTAL DE ALUNOS]]*100</f>
        <v>45.333333333333329</v>
      </c>
      <c r="J51" s="421">
        <f>Tabela317[[#This Row],[Abaixo do Básico]]*1</f>
        <v>45.333333333333329</v>
      </c>
      <c r="K51" s="421">
        <f>Tabela317[[#This Row],[TOTAL ALUNOS DO BASICO]]/Tabela317[[#This Row],[TOTAL DE ALUNOS]]*100</f>
        <v>23.333333333333332</v>
      </c>
      <c r="L51" s="421">
        <f>Tabela317[[#This Row],[Básico]]*2</f>
        <v>46.666666666666664</v>
      </c>
      <c r="M51" s="421">
        <f>Tabela317[[#This Row],[TOTAL ALUNOS ADEQUADO]]/Tabela317[[#This Row],[TOTAL DE ALUNOS]]*100</f>
        <v>16.666666666666664</v>
      </c>
      <c r="N51" s="421">
        <f>Tabela317[[#This Row],[Adequado]]*3</f>
        <v>49.999999999999993</v>
      </c>
      <c r="O51" s="421">
        <f>Tabela317[[#This Row],[TOTAL DE ALUNOS AVANÇADO]]/Tabela317[[#This Row],[TOTAL DE ALUNOS]]*100</f>
        <v>14.666666666666666</v>
      </c>
      <c r="P51" s="421">
        <f>Tabela317[[#This Row],[Avançado]]*4</f>
        <v>58.666666666666664</v>
      </c>
      <c r="Q51" s="421">
        <f t="shared" si="3"/>
        <v>200.66666666666666</v>
      </c>
      <c r="R51" s="455">
        <f>Tabela317[[#This Row],[Participação]]*100</f>
        <v>83.8</v>
      </c>
      <c r="S51" s="422">
        <f t="shared" si="4"/>
        <v>200.66666666666666</v>
      </c>
      <c r="T51" s="422">
        <f>Tabela317[[#This Row],[META 2024]]*0.65</f>
        <v>145.48403999999999</v>
      </c>
      <c r="U51" s="421">
        <v>223.82159999999999</v>
      </c>
      <c r="V51" s="422">
        <f t="shared" si="0"/>
        <v>0.70442105506817754</v>
      </c>
      <c r="W51" s="422">
        <f t="shared" si="6"/>
        <v>0.70442105506817754</v>
      </c>
    </row>
    <row r="52" spans="1:23">
      <c r="A52" s="456">
        <v>56</v>
      </c>
      <c r="B52" s="457" t="s">
        <v>147</v>
      </c>
      <c r="C52" s="418">
        <v>37</v>
      </c>
      <c r="D52" s="418">
        <v>69</v>
      </c>
      <c r="E52" s="418">
        <v>82</v>
      </c>
      <c r="F52" s="418">
        <v>82</v>
      </c>
      <c r="G52" s="454">
        <f t="shared" si="2"/>
        <v>270</v>
      </c>
      <c r="H52" s="420">
        <v>0.93100000000000005</v>
      </c>
      <c r="I52" s="421">
        <f>Tabela317[[#This Row],[TOTAL ALUNOS ABAIXO DO BASICO]]/Tabela317[[#This Row],[TOTAL DE ALUNOS]]*100</f>
        <v>13.703703703703704</v>
      </c>
      <c r="J52" s="421">
        <f>Tabela317[[#This Row],[Abaixo do Básico]]*1</f>
        <v>13.703703703703704</v>
      </c>
      <c r="K52" s="421">
        <f>Tabela317[[#This Row],[TOTAL ALUNOS DO BASICO]]/Tabela317[[#This Row],[TOTAL DE ALUNOS]]*100</f>
        <v>25.555555555555554</v>
      </c>
      <c r="L52" s="421">
        <f>Tabela317[[#This Row],[Básico]]*2</f>
        <v>51.111111111111107</v>
      </c>
      <c r="M52" s="421">
        <f>Tabela317[[#This Row],[TOTAL ALUNOS ADEQUADO]]/Tabela317[[#This Row],[TOTAL DE ALUNOS]]*100</f>
        <v>30.37037037037037</v>
      </c>
      <c r="N52" s="421">
        <f>Tabela317[[#This Row],[Adequado]]*3</f>
        <v>91.111111111111114</v>
      </c>
      <c r="O52" s="421">
        <f>Tabela317[[#This Row],[TOTAL DE ALUNOS AVANÇADO]]/Tabela317[[#This Row],[TOTAL DE ALUNOS]]*100</f>
        <v>30.37037037037037</v>
      </c>
      <c r="P52" s="421">
        <f>Tabela317[[#This Row],[Avançado]]*4</f>
        <v>121.48148148148148</v>
      </c>
      <c r="Q52" s="421">
        <f t="shared" si="3"/>
        <v>277.40740740740739</v>
      </c>
      <c r="R52" s="455">
        <f>Tabela317[[#This Row],[Participação]]*100</f>
        <v>93.100000000000009</v>
      </c>
      <c r="S52" s="422">
        <f t="shared" si="4"/>
        <v>277.40740740740739</v>
      </c>
      <c r="T52" s="422">
        <f>Tabela317[[#This Row],[META 2024]]*0.65</f>
        <v>179.19642000000002</v>
      </c>
      <c r="U52" s="421">
        <v>275.68680000000001</v>
      </c>
      <c r="V52" s="422">
        <f t="shared" si="0"/>
        <v>1.0178319062211942</v>
      </c>
      <c r="W52" s="422">
        <f t="shared" si="6"/>
        <v>1</v>
      </c>
    </row>
    <row r="53" spans="1:23">
      <c r="A53" s="456">
        <v>57</v>
      </c>
      <c r="B53" s="457" t="s">
        <v>171</v>
      </c>
      <c r="C53" s="418">
        <v>37</v>
      </c>
      <c r="D53" s="418">
        <v>13</v>
      </c>
      <c r="E53" s="418">
        <v>8</v>
      </c>
      <c r="F53" s="418">
        <v>6</v>
      </c>
      <c r="G53" s="454">
        <f t="shared" si="2"/>
        <v>64</v>
      </c>
      <c r="H53" s="420">
        <v>0.95520000000000005</v>
      </c>
      <c r="I53" s="421">
        <f>Tabela317[[#This Row],[TOTAL ALUNOS ABAIXO DO BASICO]]/Tabela317[[#This Row],[TOTAL DE ALUNOS]]*100</f>
        <v>57.8125</v>
      </c>
      <c r="J53" s="421">
        <f>Tabela317[[#This Row],[Abaixo do Básico]]*1</f>
        <v>57.8125</v>
      </c>
      <c r="K53" s="421">
        <f>Tabela317[[#This Row],[TOTAL ALUNOS DO BASICO]]/Tabela317[[#This Row],[TOTAL DE ALUNOS]]*100</f>
        <v>20.3125</v>
      </c>
      <c r="L53" s="421">
        <f>Tabela317[[#This Row],[Básico]]*2</f>
        <v>40.625</v>
      </c>
      <c r="M53" s="421">
        <f>Tabela317[[#This Row],[TOTAL ALUNOS ADEQUADO]]/Tabela317[[#This Row],[TOTAL DE ALUNOS]]*100</f>
        <v>12.5</v>
      </c>
      <c r="N53" s="421">
        <f>Tabela317[[#This Row],[Adequado]]*3</f>
        <v>37.5</v>
      </c>
      <c r="O53" s="421">
        <f>Tabela317[[#This Row],[TOTAL DE ALUNOS AVANÇADO]]/Tabela317[[#This Row],[TOTAL DE ALUNOS]]*100</f>
        <v>9.375</v>
      </c>
      <c r="P53" s="421">
        <f>Tabela317[[#This Row],[Avançado]]*4</f>
        <v>37.5</v>
      </c>
      <c r="Q53" s="421">
        <f t="shared" si="3"/>
        <v>173.4375</v>
      </c>
      <c r="R53" s="455">
        <f>Tabela317[[#This Row],[Participação]]*100</f>
        <v>95.52000000000001</v>
      </c>
      <c r="S53" s="422">
        <f t="shared" si="4"/>
        <v>173.4375</v>
      </c>
      <c r="T53" s="422">
        <f>Tabela317[[#This Row],[META 2024]]*0.65</f>
        <v>109.49016000000002</v>
      </c>
      <c r="U53" s="421">
        <v>168.44640000000001</v>
      </c>
      <c r="V53" s="422">
        <f t="shared" si="0"/>
        <v>1.0846577054439019</v>
      </c>
      <c r="W53" s="422">
        <f t="shared" si="6"/>
        <v>1</v>
      </c>
    </row>
    <row r="54" spans="1:23">
      <c r="A54" s="456">
        <v>58</v>
      </c>
      <c r="B54" s="457" t="s">
        <v>3</v>
      </c>
      <c r="C54" s="418">
        <v>36</v>
      </c>
      <c r="D54" s="418">
        <v>29</v>
      </c>
      <c r="E54" s="418">
        <v>14</v>
      </c>
      <c r="F54" s="418">
        <v>7</v>
      </c>
      <c r="G54" s="454">
        <f t="shared" si="2"/>
        <v>86</v>
      </c>
      <c r="H54" s="420">
        <v>0.92469999999999997</v>
      </c>
      <c r="I54" s="421">
        <f>Tabela317[[#This Row],[TOTAL ALUNOS ABAIXO DO BASICO]]/Tabela317[[#This Row],[TOTAL DE ALUNOS]]*100</f>
        <v>41.860465116279073</v>
      </c>
      <c r="J54" s="421">
        <f>Tabela317[[#This Row],[Abaixo do Básico]]*1</f>
        <v>41.860465116279073</v>
      </c>
      <c r="K54" s="421">
        <f>Tabela317[[#This Row],[TOTAL ALUNOS DO BASICO]]/Tabela317[[#This Row],[TOTAL DE ALUNOS]]*100</f>
        <v>33.720930232558139</v>
      </c>
      <c r="L54" s="421">
        <f>Tabela317[[#This Row],[Básico]]*2</f>
        <v>67.441860465116278</v>
      </c>
      <c r="M54" s="421">
        <f>Tabela317[[#This Row],[TOTAL ALUNOS ADEQUADO]]/Tabela317[[#This Row],[TOTAL DE ALUNOS]]*100</f>
        <v>16.279069767441861</v>
      </c>
      <c r="N54" s="421">
        <f>Tabela317[[#This Row],[Adequado]]*3</f>
        <v>48.837209302325583</v>
      </c>
      <c r="O54" s="421">
        <f>Tabela317[[#This Row],[TOTAL DE ALUNOS AVANÇADO]]/Tabela317[[#This Row],[TOTAL DE ALUNOS]]*100</f>
        <v>8.1395348837209305</v>
      </c>
      <c r="P54" s="421">
        <f>Tabela317[[#This Row],[Avançado]]*4</f>
        <v>32.558139534883722</v>
      </c>
      <c r="Q54" s="421">
        <f t="shared" si="3"/>
        <v>190.69767441860466</v>
      </c>
      <c r="R54" s="455">
        <f>Tabela317[[#This Row],[Participação]]*100</f>
        <v>92.47</v>
      </c>
      <c r="S54" s="422">
        <f t="shared" si="4"/>
        <v>190.69767441860466</v>
      </c>
      <c r="T54" s="422">
        <f>Tabela317[[#This Row],[META 2024]]*0.65</f>
        <v>135.52675500000001</v>
      </c>
      <c r="U54" s="421">
        <v>208.5027</v>
      </c>
      <c r="V54" s="422">
        <f t="shared" si="0"/>
        <v>0.756015141956773</v>
      </c>
      <c r="W54" s="422">
        <f t="shared" si="6"/>
        <v>0.756015141956773</v>
      </c>
    </row>
    <row r="55" spans="1:23">
      <c r="A55" s="456">
        <v>59</v>
      </c>
      <c r="B55" s="457" t="s">
        <v>174</v>
      </c>
      <c r="C55" s="418">
        <v>46</v>
      </c>
      <c r="D55" s="418">
        <v>26</v>
      </c>
      <c r="E55" s="418">
        <v>14</v>
      </c>
      <c r="F55" s="418">
        <v>9</v>
      </c>
      <c r="G55" s="454">
        <f t="shared" si="2"/>
        <v>95</v>
      </c>
      <c r="H55" s="420">
        <v>0.84819999999999995</v>
      </c>
      <c r="I55" s="421">
        <f>Tabela317[[#This Row],[TOTAL ALUNOS ABAIXO DO BASICO]]/Tabela317[[#This Row],[TOTAL DE ALUNOS]]*100</f>
        <v>48.421052631578945</v>
      </c>
      <c r="J55" s="421">
        <f>Tabela317[[#This Row],[Abaixo do Básico]]*1</f>
        <v>48.421052631578945</v>
      </c>
      <c r="K55" s="421">
        <f>Tabela317[[#This Row],[TOTAL ALUNOS DO BASICO]]/Tabela317[[#This Row],[TOTAL DE ALUNOS]]*100</f>
        <v>27.368421052631582</v>
      </c>
      <c r="L55" s="421">
        <f>Tabela317[[#This Row],[Básico]]*2</f>
        <v>54.736842105263165</v>
      </c>
      <c r="M55" s="421">
        <f>Tabela317[[#This Row],[TOTAL ALUNOS ADEQUADO]]/Tabela317[[#This Row],[TOTAL DE ALUNOS]]*100</f>
        <v>14.736842105263156</v>
      </c>
      <c r="N55" s="421">
        <f>Tabela317[[#This Row],[Adequado]]*3</f>
        <v>44.210526315789465</v>
      </c>
      <c r="O55" s="421">
        <f>Tabela317[[#This Row],[TOTAL DE ALUNOS AVANÇADO]]/Tabela317[[#This Row],[TOTAL DE ALUNOS]]*100</f>
        <v>9.4736842105263168</v>
      </c>
      <c r="P55" s="421">
        <f>Tabela317[[#This Row],[Avançado]]*4</f>
        <v>37.894736842105267</v>
      </c>
      <c r="Q55" s="421">
        <f t="shared" si="3"/>
        <v>185.26315789473682</v>
      </c>
      <c r="R55" s="455">
        <f>Tabela317[[#This Row],[Participação]]*100</f>
        <v>84.82</v>
      </c>
      <c r="S55" s="422">
        <f t="shared" si="4"/>
        <v>185.26315789473682</v>
      </c>
      <c r="T55" s="422">
        <f>Tabela317[[#This Row],[META 2024]]*0.65</f>
        <v>121.68351</v>
      </c>
      <c r="U55" s="421">
        <v>187.2054</v>
      </c>
      <c r="V55" s="422">
        <f t="shared" si="0"/>
        <v>0.97035735530121037</v>
      </c>
      <c r="W55" s="422">
        <f t="shared" si="6"/>
        <v>0.97035735530121037</v>
      </c>
    </row>
    <row r="56" spans="1:23">
      <c r="A56" s="456">
        <v>60</v>
      </c>
      <c r="B56" s="457" t="s">
        <v>83</v>
      </c>
      <c r="C56" s="418">
        <v>80</v>
      </c>
      <c r="D56" s="418">
        <v>33</v>
      </c>
      <c r="E56" s="418">
        <v>19</v>
      </c>
      <c r="F56" s="418">
        <v>21</v>
      </c>
      <c r="G56" s="454">
        <f t="shared" si="2"/>
        <v>153</v>
      </c>
      <c r="H56" s="420">
        <v>0.8095</v>
      </c>
      <c r="I56" s="421">
        <f>Tabela317[[#This Row],[TOTAL ALUNOS ABAIXO DO BASICO]]/Tabela317[[#This Row],[TOTAL DE ALUNOS]]*100</f>
        <v>52.287581699346411</v>
      </c>
      <c r="J56" s="421">
        <f>Tabela317[[#This Row],[Abaixo do Básico]]*1</f>
        <v>52.287581699346411</v>
      </c>
      <c r="K56" s="421">
        <f>Tabela317[[#This Row],[TOTAL ALUNOS DO BASICO]]/Tabela317[[#This Row],[TOTAL DE ALUNOS]]*100</f>
        <v>21.568627450980394</v>
      </c>
      <c r="L56" s="421">
        <f>Tabela317[[#This Row],[Básico]]*2</f>
        <v>43.137254901960787</v>
      </c>
      <c r="M56" s="421">
        <f>Tabela317[[#This Row],[TOTAL ALUNOS ADEQUADO]]/Tabela317[[#This Row],[TOTAL DE ALUNOS]]*100</f>
        <v>12.418300653594772</v>
      </c>
      <c r="N56" s="421">
        <f>Tabela317[[#This Row],[Adequado]]*3</f>
        <v>37.254901960784316</v>
      </c>
      <c r="O56" s="421">
        <f>Tabela317[[#This Row],[TOTAL DE ALUNOS AVANÇADO]]/Tabela317[[#This Row],[TOTAL DE ALUNOS]]*100</f>
        <v>13.725490196078432</v>
      </c>
      <c r="P56" s="421">
        <f>Tabela317[[#This Row],[Avançado]]*4</f>
        <v>54.901960784313729</v>
      </c>
      <c r="Q56" s="421">
        <f t="shared" si="3"/>
        <v>187.58169934640523</v>
      </c>
      <c r="R56" s="455">
        <f>Tabela317[[#This Row],[Participação]]*100</f>
        <v>80.95</v>
      </c>
      <c r="S56" s="422">
        <f t="shared" si="4"/>
        <v>187.58169934640523</v>
      </c>
      <c r="T56" s="422">
        <f>Tabela317[[#This Row],[META 2024]]*0.65</f>
        <v>136.70071999999999</v>
      </c>
      <c r="U56" s="421">
        <v>210.30879999999999</v>
      </c>
      <c r="V56" s="422">
        <f t="shared" si="0"/>
        <v>0.69124176783860203</v>
      </c>
      <c r="W56" s="422">
        <f t="shared" si="6"/>
        <v>0.69124176783860203</v>
      </c>
    </row>
    <row r="57" spans="1:23">
      <c r="A57" s="456">
        <v>61</v>
      </c>
      <c r="B57" s="457" t="s">
        <v>148</v>
      </c>
      <c r="C57" s="418">
        <v>24</v>
      </c>
      <c r="D57" s="418">
        <v>30</v>
      </c>
      <c r="E57" s="418">
        <v>65</v>
      </c>
      <c r="F57" s="418">
        <v>85</v>
      </c>
      <c r="G57" s="454">
        <f t="shared" si="2"/>
        <v>204</v>
      </c>
      <c r="H57" s="420">
        <v>0.94010000000000005</v>
      </c>
      <c r="I57" s="421">
        <f>Tabela317[[#This Row],[TOTAL ALUNOS ABAIXO DO BASICO]]/Tabela317[[#This Row],[TOTAL DE ALUNOS]]*100</f>
        <v>11.76470588235294</v>
      </c>
      <c r="J57" s="421">
        <f>Tabela317[[#This Row],[Abaixo do Básico]]*1</f>
        <v>11.76470588235294</v>
      </c>
      <c r="K57" s="421">
        <f>Tabela317[[#This Row],[TOTAL ALUNOS DO BASICO]]/Tabela317[[#This Row],[TOTAL DE ALUNOS]]*100</f>
        <v>14.705882352941178</v>
      </c>
      <c r="L57" s="421">
        <f>Tabela317[[#This Row],[Básico]]*2</f>
        <v>29.411764705882355</v>
      </c>
      <c r="M57" s="421">
        <f>Tabela317[[#This Row],[TOTAL ALUNOS ADEQUADO]]/Tabela317[[#This Row],[TOTAL DE ALUNOS]]*100</f>
        <v>31.862745098039213</v>
      </c>
      <c r="N57" s="421">
        <f>Tabela317[[#This Row],[Adequado]]*3</f>
        <v>95.588235294117638</v>
      </c>
      <c r="O57" s="421">
        <f>Tabela317[[#This Row],[TOTAL DE ALUNOS AVANÇADO]]/Tabela317[[#This Row],[TOTAL DE ALUNOS]]*100</f>
        <v>41.666666666666671</v>
      </c>
      <c r="P57" s="421">
        <f>Tabela317[[#This Row],[Avançado]]*4</f>
        <v>166.66666666666669</v>
      </c>
      <c r="Q57" s="421">
        <f t="shared" si="3"/>
        <v>303.43137254901961</v>
      </c>
      <c r="R57" s="455">
        <f>Tabela317[[#This Row],[Participação]]*100</f>
        <v>94.01</v>
      </c>
      <c r="S57" s="422">
        <f t="shared" si="4"/>
        <v>303.43137254901961</v>
      </c>
      <c r="T57" s="422">
        <f>Tabela317[[#This Row],[META 2024]]*0.65</f>
        <v>196.83618500000003</v>
      </c>
      <c r="U57" s="421">
        <v>302.82490000000001</v>
      </c>
      <c r="V57" s="422">
        <f t="shared" si="0"/>
        <v>1.0057220483239144</v>
      </c>
      <c r="W57" s="422">
        <f t="shared" si="6"/>
        <v>1</v>
      </c>
    </row>
    <row r="58" spans="1:23">
      <c r="A58" s="456">
        <v>62</v>
      </c>
      <c r="B58" s="457" t="s">
        <v>218</v>
      </c>
      <c r="C58" s="418">
        <v>54</v>
      </c>
      <c r="D58" s="418">
        <v>17</v>
      </c>
      <c r="E58" s="418">
        <v>11</v>
      </c>
      <c r="F58" s="418">
        <v>10</v>
      </c>
      <c r="G58" s="454">
        <f t="shared" si="2"/>
        <v>92</v>
      </c>
      <c r="H58" s="420">
        <v>0.91090000000000004</v>
      </c>
      <c r="I58" s="421">
        <f>Tabela317[[#This Row],[TOTAL ALUNOS ABAIXO DO BASICO]]/Tabela317[[#This Row],[TOTAL DE ALUNOS]]*100</f>
        <v>58.695652173913047</v>
      </c>
      <c r="J58" s="421">
        <f>Tabela317[[#This Row],[Abaixo do Básico]]*1</f>
        <v>58.695652173913047</v>
      </c>
      <c r="K58" s="421">
        <f>Tabela317[[#This Row],[TOTAL ALUNOS DO BASICO]]/Tabela317[[#This Row],[TOTAL DE ALUNOS]]*100</f>
        <v>18.478260869565215</v>
      </c>
      <c r="L58" s="421">
        <f>Tabela317[[#This Row],[Básico]]*2</f>
        <v>36.95652173913043</v>
      </c>
      <c r="M58" s="421">
        <f>Tabela317[[#This Row],[TOTAL ALUNOS ADEQUADO]]/Tabela317[[#This Row],[TOTAL DE ALUNOS]]*100</f>
        <v>11.956521739130435</v>
      </c>
      <c r="N58" s="421">
        <f>Tabela317[[#This Row],[Adequado]]*3</f>
        <v>35.869565217391305</v>
      </c>
      <c r="O58" s="421">
        <f>Tabela317[[#This Row],[TOTAL DE ALUNOS AVANÇADO]]/Tabela317[[#This Row],[TOTAL DE ALUNOS]]*100</f>
        <v>10.869565217391305</v>
      </c>
      <c r="P58" s="421">
        <f>Tabela317[[#This Row],[Avançado]]*4</f>
        <v>43.478260869565219</v>
      </c>
      <c r="Q58" s="421">
        <f t="shared" si="3"/>
        <v>175</v>
      </c>
      <c r="R58" s="455">
        <f>Tabela317[[#This Row],[Participação]]*100</f>
        <v>91.09</v>
      </c>
      <c r="S58" s="422">
        <f t="shared" si="4"/>
        <v>175</v>
      </c>
      <c r="T58" s="422">
        <f>Tabela317[[#This Row],[META 2024]]*0.65</f>
        <v>121.68351</v>
      </c>
      <c r="U58" s="421">
        <v>187.2054</v>
      </c>
      <c r="V58" s="422">
        <f t="shared" si="0"/>
        <v>0.81372026966865585</v>
      </c>
      <c r="W58" s="422">
        <f t="shared" si="6"/>
        <v>0.81372026966865585</v>
      </c>
    </row>
    <row r="59" spans="1:23">
      <c r="A59" s="456">
        <v>63</v>
      </c>
      <c r="B59" s="457" t="s">
        <v>180</v>
      </c>
      <c r="C59" s="418">
        <v>26</v>
      </c>
      <c r="D59" s="418">
        <v>4</v>
      </c>
      <c r="E59" s="418">
        <v>1</v>
      </c>
      <c r="F59" s="418">
        <v>1</v>
      </c>
      <c r="G59" s="454">
        <f t="shared" si="2"/>
        <v>32</v>
      </c>
      <c r="H59" s="420">
        <v>1</v>
      </c>
      <c r="I59" s="421">
        <f>Tabela317[[#This Row],[TOTAL ALUNOS ABAIXO DO BASICO]]/Tabela317[[#This Row],[TOTAL DE ALUNOS]]*100</f>
        <v>81.25</v>
      </c>
      <c r="J59" s="421">
        <f>Tabela317[[#This Row],[Abaixo do Básico]]*1</f>
        <v>81.25</v>
      </c>
      <c r="K59" s="421">
        <f>Tabela317[[#This Row],[TOTAL ALUNOS DO BASICO]]/Tabela317[[#This Row],[TOTAL DE ALUNOS]]*100</f>
        <v>12.5</v>
      </c>
      <c r="L59" s="421">
        <f>Tabela317[[#This Row],[Básico]]*2</f>
        <v>25</v>
      </c>
      <c r="M59" s="421">
        <f>Tabela317[[#This Row],[TOTAL ALUNOS ADEQUADO]]/Tabela317[[#This Row],[TOTAL DE ALUNOS]]*100</f>
        <v>3.125</v>
      </c>
      <c r="N59" s="421">
        <f>Tabela317[[#This Row],[Adequado]]*3</f>
        <v>9.375</v>
      </c>
      <c r="O59" s="421">
        <f>Tabela317[[#This Row],[TOTAL DE ALUNOS AVANÇADO]]/Tabela317[[#This Row],[TOTAL DE ALUNOS]]*100</f>
        <v>3.125</v>
      </c>
      <c r="P59" s="421">
        <f>Tabela317[[#This Row],[Avançado]]*4</f>
        <v>12.5</v>
      </c>
      <c r="Q59" s="421">
        <f t="shared" si="3"/>
        <v>128.125</v>
      </c>
      <c r="R59" s="455">
        <f>Tabela317[[#This Row],[Participação]]*100</f>
        <v>100</v>
      </c>
      <c r="S59" s="422">
        <f t="shared" si="4"/>
        <v>128.125</v>
      </c>
      <c r="T59" s="422">
        <f>Tabela317[[#This Row],[META 2024]]*0.65</f>
        <v>96.405725000000004</v>
      </c>
      <c r="U59" s="421">
        <v>148.31649999999999</v>
      </c>
      <c r="V59" s="422">
        <f t="shared" si="0"/>
        <v>0.61103451065795111</v>
      </c>
      <c r="W59" s="422">
        <f t="shared" si="6"/>
        <v>0.61103451065795111</v>
      </c>
    </row>
    <row r="60" spans="1:23">
      <c r="A60" s="456">
        <v>64</v>
      </c>
      <c r="B60" s="457" t="s">
        <v>190</v>
      </c>
      <c r="C60" s="418">
        <v>66</v>
      </c>
      <c r="D60" s="418">
        <v>66</v>
      </c>
      <c r="E60" s="418">
        <v>66</v>
      </c>
      <c r="F60" s="418">
        <v>61</v>
      </c>
      <c r="G60" s="454">
        <f t="shared" si="2"/>
        <v>259</v>
      </c>
      <c r="H60" s="420">
        <v>0.86050000000000004</v>
      </c>
      <c r="I60" s="421">
        <f>Tabela317[[#This Row],[TOTAL ALUNOS ABAIXO DO BASICO]]/Tabela317[[#This Row],[TOTAL DE ALUNOS]]*100</f>
        <v>25.482625482625483</v>
      </c>
      <c r="J60" s="421">
        <f>Tabela317[[#This Row],[Abaixo do Básico]]*1</f>
        <v>25.482625482625483</v>
      </c>
      <c r="K60" s="421">
        <f>Tabela317[[#This Row],[TOTAL ALUNOS DO BASICO]]/Tabela317[[#This Row],[TOTAL DE ALUNOS]]*100</f>
        <v>25.482625482625483</v>
      </c>
      <c r="L60" s="421">
        <f>Tabela317[[#This Row],[Básico]]*2</f>
        <v>50.965250965250966</v>
      </c>
      <c r="M60" s="421">
        <f>Tabela317[[#This Row],[TOTAL ALUNOS ADEQUADO]]/Tabela317[[#This Row],[TOTAL DE ALUNOS]]*100</f>
        <v>25.482625482625483</v>
      </c>
      <c r="N60" s="421">
        <f>Tabela317[[#This Row],[Adequado]]*3</f>
        <v>76.447876447876453</v>
      </c>
      <c r="O60" s="421">
        <f>Tabela317[[#This Row],[TOTAL DE ALUNOS AVANÇADO]]/Tabela317[[#This Row],[TOTAL DE ALUNOS]]*100</f>
        <v>23.552123552123554</v>
      </c>
      <c r="P60" s="421">
        <f>Tabela317[[#This Row],[Avançado]]*4</f>
        <v>94.208494208494216</v>
      </c>
      <c r="Q60" s="421">
        <f t="shared" si="3"/>
        <v>247.10424710424712</v>
      </c>
      <c r="R60" s="455">
        <f>Tabela317[[#This Row],[Participação]]*100</f>
        <v>86.050000000000011</v>
      </c>
      <c r="S60" s="422">
        <f t="shared" si="4"/>
        <v>247.10424710424712</v>
      </c>
      <c r="T60" s="422">
        <f>Tabela317[[#This Row],[META 2024]]*0.65</f>
        <v>157.35180500000001</v>
      </c>
      <c r="U60" s="421">
        <v>242.0797</v>
      </c>
      <c r="V60" s="422">
        <f t="shared" si="0"/>
        <v>1.0593021590380254</v>
      </c>
      <c r="W60" s="422">
        <f t="shared" si="6"/>
        <v>1</v>
      </c>
    </row>
    <row r="61" spans="1:23">
      <c r="A61" s="456">
        <v>65</v>
      </c>
      <c r="B61" s="457" t="s">
        <v>187</v>
      </c>
      <c r="C61" s="418">
        <v>17</v>
      </c>
      <c r="D61" s="418">
        <v>27</v>
      </c>
      <c r="E61" s="418">
        <v>16</v>
      </c>
      <c r="F61" s="418">
        <v>10</v>
      </c>
      <c r="G61" s="454">
        <f t="shared" si="2"/>
        <v>70</v>
      </c>
      <c r="H61" s="420">
        <v>0.8861</v>
      </c>
      <c r="I61" s="421">
        <f>Tabela317[[#This Row],[TOTAL ALUNOS ABAIXO DO BASICO]]/Tabela317[[#This Row],[TOTAL DE ALUNOS]]*100</f>
        <v>24.285714285714285</v>
      </c>
      <c r="J61" s="421">
        <f>Tabela317[[#This Row],[Abaixo do Básico]]*1</f>
        <v>24.285714285714285</v>
      </c>
      <c r="K61" s="421">
        <f>Tabela317[[#This Row],[TOTAL ALUNOS DO BASICO]]/Tabela317[[#This Row],[TOTAL DE ALUNOS]]*100</f>
        <v>38.571428571428577</v>
      </c>
      <c r="L61" s="421">
        <f>Tabela317[[#This Row],[Básico]]*2</f>
        <v>77.142857142857153</v>
      </c>
      <c r="M61" s="421">
        <f>Tabela317[[#This Row],[TOTAL ALUNOS ADEQUADO]]/Tabela317[[#This Row],[TOTAL DE ALUNOS]]*100</f>
        <v>22.857142857142858</v>
      </c>
      <c r="N61" s="421">
        <f>Tabela317[[#This Row],[Adequado]]*3</f>
        <v>68.571428571428569</v>
      </c>
      <c r="O61" s="421">
        <f>Tabela317[[#This Row],[TOTAL DE ALUNOS AVANÇADO]]/Tabela317[[#This Row],[TOTAL DE ALUNOS]]*100</f>
        <v>14.285714285714285</v>
      </c>
      <c r="P61" s="421">
        <f>Tabela317[[#This Row],[Avançado]]*4</f>
        <v>57.142857142857139</v>
      </c>
      <c r="Q61" s="421">
        <f t="shared" si="3"/>
        <v>227.14285714285714</v>
      </c>
      <c r="R61" s="455">
        <f>Tabela317[[#This Row],[Participação]]*100</f>
        <v>88.61</v>
      </c>
      <c r="S61" s="422">
        <f t="shared" si="4"/>
        <v>227.14285714285714</v>
      </c>
      <c r="T61" s="422">
        <f>Tabela317[[#This Row],[META 2024]]*0.65</f>
        <v>151.69778000000002</v>
      </c>
      <c r="U61" s="421">
        <v>233.38120000000001</v>
      </c>
      <c r="V61" s="422">
        <f t="shared" si="0"/>
        <v>0.92362779549212226</v>
      </c>
      <c r="W61" s="422">
        <f t="shared" si="6"/>
        <v>0.92362779549212226</v>
      </c>
    </row>
    <row r="62" spans="1:23">
      <c r="A62" s="456">
        <v>66</v>
      </c>
      <c r="B62" s="457" t="s">
        <v>224</v>
      </c>
      <c r="C62" s="418">
        <v>52</v>
      </c>
      <c r="D62" s="418">
        <v>46</v>
      </c>
      <c r="E62" s="418">
        <v>50</v>
      </c>
      <c r="F62" s="418">
        <v>34</v>
      </c>
      <c r="G62" s="454">
        <f t="shared" si="2"/>
        <v>182</v>
      </c>
      <c r="H62" s="420">
        <v>0.86260000000000003</v>
      </c>
      <c r="I62" s="421">
        <f>Tabela317[[#This Row],[TOTAL ALUNOS ABAIXO DO BASICO]]/Tabela317[[#This Row],[TOTAL DE ALUNOS]]*100</f>
        <v>28.571428571428569</v>
      </c>
      <c r="J62" s="421">
        <f>Tabela317[[#This Row],[Abaixo do Básico]]*1</f>
        <v>28.571428571428569</v>
      </c>
      <c r="K62" s="421">
        <f>Tabela317[[#This Row],[TOTAL ALUNOS DO BASICO]]/Tabela317[[#This Row],[TOTAL DE ALUNOS]]*100</f>
        <v>25.274725274725274</v>
      </c>
      <c r="L62" s="421">
        <f>Tabela317[[#This Row],[Básico]]*2</f>
        <v>50.549450549450547</v>
      </c>
      <c r="M62" s="421">
        <f>Tabela317[[#This Row],[TOTAL ALUNOS ADEQUADO]]/Tabela317[[#This Row],[TOTAL DE ALUNOS]]*100</f>
        <v>27.472527472527474</v>
      </c>
      <c r="N62" s="421">
        <f>Tabela317[[#This Row],[Adequado]]*3</f>
        <v>82.417582417582423</v>
      </c>
      <c r="O62" s="421">
        <f>Tabela317[[#This Row],[TOTAL DE ALUNOS AVANÇADO]]/Tabela317[[#This Row],[TOTAL DE ALUNOS]]*100</f>
        <v>18.681318681318682</v>
      </c>
      <c r="P62" s="421">
        <f>Tabela317[[#This Row],[Avançado]]*4</f>
        <v>74.72527472527473</v>
      </c>
      <c r="Q62" s="421">
        <f t="shared" si="3"/>
        <v>236.26373626373629</v>
      </c>
      <c r="R62" s="455">
        <f>Tabela317[[#This Row],[Participação]]*100</f>
        <v>86.26</v>
      </c>
      <c r="S62" s="422">
        <f t="shared" si="4"/>
        <v>236.26373626373629</v>
      </c>
      <c r="T62" s="422">
        <f>Tabela317[[#This Row],[META 2024]]*0.65</f>
        <v>161.02449999999999</v>
      </c>
      <c r="U62" s="421">
        <v>247.73</v>
      </c>
      <c r="V62" s="422">
        <f t="shared" si="0"/>
        <v>0.86775621227876321</v>
      </c>
      <c r="W62" s="422">
        <f t="shared" si="6"/>
        <v>0.86775621227876321</v>
      </c>
    </row>
    <row r="63" spans="1:23">
      <c r="A63" s="456">
        <v>67</v>
      </c>
      <c r="B63" s="457" t="s">
        <v>161</v>
      </c>
      <c r="C63" s="418">
        <v>64</v>
      </c>
      <c r="D63" s="418">
        <v>73</v>
      </c>
      <c r="E63" s="418">
        <v>65</v>
      </c>
      <c r="F63" s="418">
        <v>48</v>
      </c>
      <c r="G63" s="454">
        <f t="shared" si="2"/>
        <v>250</v>
      </c>
      <c r="H63" s="420">
        <v>0.89929999999999999</v>
      </c>
      <c r="I63" s="421">
        <f>Tabela317[[#This Row],[TOTAL ALUNOS ABAIXO DO BASICO]]/Tabela317[[#This Row],[TOTAL DE ALUNOS]]*100</f>
        <v>25.6</v>
      </c>
      <c r="J63" s="421">
        <f>Tabela317[[#This Row],[Abaixo do Básico]]*1</f>
        <v>25.6</v>
      </c>
      <c r="K63" s="421">
        <f>Tabela317[[#This Row],[TOTAL ALUNOS DO BASICO]]/Tabela317[[#This Row],[TOTAL DE ALUNOS]]*100</f>
        <v>29.2</v>
      </c>
      <c r="L63" s="421">
        <f>Tabela317[[#This Row],[Básico]]*2</f>
        <v>58.4</v>
      </c>
      <c r="M63" s="421">
        <f>Tabela317[[#This Row],[TOTAL ALUNOS ADEQUADO]]/Tabela317[[#This Row],[TOTAL DE ALUNOS]]*100</f>
        <v>26</v>
      </c>
      <c r="N63" s="421">
        <f>Tabela317[[#This Row],[Adequado]]*3</f>
        <v>78</v>
      </c>
      <c r="O63" s="421">
        <f>Tabela317[[#This Row],[TOTAL DE ALUNOS AVANÇADO]]/Tabela317[[#This Row],[TOTAL DE ALUNOS]]*100</f>
        <v>19.2</v>
      </c>
      <c r="P63" s="421">
        <f>Tabela317[[#This Row],[Avançado]]*4</f>
        <v>76.8</v>
      </c>
      <c r="Q63" s="421">
        <f t="shared" si="3"/>
        <v>238.8</v>
      </c>
      <c r="R63" s="455">
        <f>Tabela317[[#This Row],[Participação]]*100</f>
        <v>89.929999999999993</v>
      </c>
      <c r="S63" s="422">
        <f t="shared" si="4"/>
        <v>238.8</v>
      </c>
      <c r="T63" s="422">
        <f>Tabela317[[#This Row],[META 2024]]*0.65</f>
        <v>165.21420500000002</v>
      </c>
      <c r="U63" s="421">
        <v>254.17570000000001</v>
      </c>
      <c r="V63" s="422">
        <f t="shared" si="0"/>
        <v>0.82716455023603186</v>
      </c>
      <c r="W63" s="422">
        <f t="shared" si="6"/>
        <v>0.82716455023603186</v>
      </c>
    </row>
    <row r="64" spans="1:23">
      <c r="A64" s="456">
        <v>68</v>
      </c>
      <c r="B64" s="457" t="s">
        <v>92</v>
      </c>
      <c r="C64" s="418">
        <v>44</v>
      </c>
      <c r="D64" s="418">
        <v>42</v>
      </c>
      <c r="E64" s="418">
        <v>45</v>
      </c>
      <c r="F64" s="418">
        <v>31</v>
      </c>
      <c r="G64" s="454">
        <f t="shared" si="2"/>
        <v>162</v>
      </c>
      <c r="H64" s="420">
        <v>0.87570000000000003</v>
      </c>
      <c r="I64" s="421">
        <f>Tabela317[[#This Row],[TOTAL ALUNOS ABAIXO DO BASICO]]/Tabela317[[#This Row],[TOTAL DE ALUNOS]]*100</f>
        <v>27.160493827160494</v>
      </c>
      <c r="J64" s="421">
        <f>Tabela317[[#This Row],[Abaixo do Básico]]*1</f>
        <v>27.160493827160494</v>
      </c>
      <c r="K64" s="421">
        <f>Tabela317[[#This Row],[TOTAL ALUNOS DO BASICO]]/Tabela317[[#This Row],[TOTAL DE ALUNOS]]*100</f>
        <v>25.925925925925924</v>
      </c>
      <c r="L64" s="421">
        <f>Tabela317[[#This Row],[Básico]]*2</f>
        <v>51.851851851851848</v>
      </c>
      <c r="M64" s="421">
        <f>Tabela317[[#This Row],[TOTAL ALUNOS ADEQUADO]]/Tabela317[[#This Row],[TOTAL DE ALUNOS]]*100</f>
        <v>27.777777777777779</v>
      </c>
      <c r="N64" s="421">
        <f>Tabela317[[#This Row],[Adequado]]*3</f>
        <v>83.333333333333343</v>
      </c>
      <c r="O64" s="421">
        <f>Tabela317[[#This Row],[TOTAL DE ALUNOS AVANÇADO]]/Tabela317[[#This Row],[TOTAL DE ALUNOS]]*100</f>
        <v>19.1358024691358</v>
      </c>
      <c r="P64" s="421">
        <f>Tabela317[[#This Row],[Avançado]]*4</f>
        <v>76.543209876543202</v>
      </c>
      <c r="Q64" s="421">
        <f t="shared" si="3"/>
        <v>238.88888888888886</v>
      </c>
      <c r="R64" s="455">
        <f>Tabela317[[#This Row],[Participação]]*100</f>
        <v>87.570000000000007</v>
      </c>
      <c r="S64" s="422">
        <f t="shared" si="4"/>
        <v>238.88888888888886</v>
      </c>
      <c r="T64" s="422">
        <f>Tabela317[[#This Row],[META 2024]]*0.65</f>
        <v>167.31949</v>
      </c>
      <c r="U64" s="421">
        <v>257.41460000000001</v>
      </c>
      <c r="V64" s="422">
        <f t="shared" si="0"/>
        <v>0.7943760642379909</v>
      </c>
      <c r="W64" s="422">
        <f t="shared" si="6"/>
        <v>0.7943760642379909</v>
      </c>
    </row>
    <row r="65" spans="1:23">
      <c r="A65" s="456">
        <v>69</v>
      </c>
      <c r="B65" s="457" t="s">
        <v>226</v>
      </c>
      <c r="C65" s="418">
        <v>35</v>
      </c>
      <c r="D65" s="418">
        <v>14</v>
      </c>
      <c r="E65" s="418">
        <v>5</v>
      </c>
      <c r="F65" s="418">
        <v>4</v>
      </c>
      <c r="G65" s="454">
        <f t="shared" si="2"/>
        <v>58</v>
      </c>
      <c r="H65" s="420">
        <v>0.95079999999999998</v>
      </c>
      <c r="I65" s="421">
        <f>Tabela317[[#This Row],[TOTAL ALUNOS ABAIXO DO BASICO]]/Tabela317[[#This Row],[TOTAL DE ALUNOS]]*100</f>
        <v>60.344827586206897</v>
      </c>
      <c r="J65" s="421">
        <f>Tabela317[[#This Row],[Abaixo do Básico]]*1</f>
        <v>60.344827586206897</v>
      </c>
      <c r="K65" s="421">
        <f>Tabela317[[#This Row],[TOTAL ALUNOS DO BASICO]]/Tabela317[[#This Row],[TOTAL DE ALUNOS]]*100</f>
        <v>24.137931034482758</v>
      </c>
      <c r="L65" s="421">
        <f>Tabela317[[#This Row],[Básico]]*2</f>
        <v>48.275862068965516</v>
      </c>
      <c r="M65" s="421">
        <f>Tabela317[[#This Row],[TOTAL ALUNOS ADEQUADO]]/Tabela317[[#This Row],[TOTAL DE ALUNOS]]*100</f>
        <v>8.6206896551724146</v>
      </c>
      <c r="N65" s="421">
        <f>Tabela317[[#This Row],[Adequado]]*3</f>
        <v>25.862068965517246</v>
      </c>
      <c r="O65" s="421">
        <f>Tabela317[[#This Row],[TOTAL DE ALUNOS AVANÇADO]]/Tabela317[[#This Row],[TOTAL DE ALUNOS]]*100</f>
        <v>6.8965517241379306</v>
      </c>
      <c r="P65" s="421">
        <f>Tabela317[[#This Row],[Avançado]]*4</f>
        <v>27.586206896551722</v>
      </c>
      <c r="Q65" s="421">
        <f t="shared" si="3"/>
        <v>162.06896551724137</v>
      </c>
      <c r="R65" s="455">
        <f>Tabela317[[#This Row],[Participação]]*100</f>
        <v>95.08</v>
      </c>
      <c r="S65" s="422">
        <f t="shared" si="4"/>
        <v>162.06896551724137</v>
      </c>
      <c r="T65" s="422">
        <f>Tabela317[[#This Row],[META 2024]]*0.65</f>
        <v>103.53141500000001</v>
      </c>
      <c r="U65" s="421">
        <v>159.2791</v>
      </c>
      <c r="V65" s="422">
        <f t="shared" si="0"/>
        <v>1.0500445088839361</v>
      </c>
      <c r="W65" s="422">
        <f t="shared" si="6"/>
        <v>1</v>
      </c>
    </row>
    <row r="66" spans="1:23">
      <c r="A66" s="456">
        <v>70</v>
      </c>
      <c r="B66" s="457" t="s">
        <v>158</v>
      </c>
      <c r="C66" s="418">
        <v>25</v>
      </c>
      <c r="D66" s="418">
        <v>31</v>
      </c>
      <c r="E66" s="418">
        <v>41</v>
      </c>
      <c r="F66" s="418">
        <v>45</v>
      </c>
      <c r="G66" s="454">
        <f t="shared" si="2"/>
        <v>142</v>
      </c>
      <c r="H66" s="420">
        <v>0.92810000000000004</v>
      </c>
      <c r="I66" s="421">
        <f>Tabela317[[#This Row],[TOTAL ALUNOS ABAIXO DO BASICO]]/Tabela317[[#This Row],[TOTAL DE ALUNOS]]*100</f>
        <v>17.6056338028169</v>
      </c>
      <c r="J66" s="421">
        <f>Tabela317[[#This Row],[Abaixo do Básico]]*1</f>
        <v>17.6056338028169</v>
      </c>
      <c r="K66" s="421">
        <f>Tabela317[[#This Row],[TOTAL ALUNOS DO BASICO]]/Tabela317[[#This Row],[TOTAL DE ALUNOS]]*100</f>
        <v>21.830985915492956</v>
      </c>
      <c r="L66" s="421">
        <f>Tabela317[[#This Row],[Básico]]*2</f>
        <v>43.661971830985912</v>
      </c>
      <c r="M66" s="421">
        <f>Tabela317[[#This Row],[TOTAL ALUNOS ADEQUADO]]/Tabela317[[#This Row],[TOTAL DE ALUNOS]]*100</f>
        <v>28.87323943661972</v>
      </c>
      <c r="N66" s="421">
        <f>Tabela317[[#This Row],[Adequado]]*3</f>
        <v>86.619718309859167</v>
      </c>
      <c r="O66" s="421">
        <f>Tabela317[[#This Row],[TOTAL DE ALUNOS AVANÇADO]]/Tabela317[[#This Row],[TOTAL DE ALUNOS]]*100</f>
        <v>31.690140845070424</v>
      </c>
      <c r="P66" s="421">
        <f>Tabela317[[#This Row],[Avançado]]*4</f>
        <v>126.7605633802817</v>
      </c>
      <c r="Q66" s="421">
        <f t="shared" si="3"/>
        <v>274.64788732394368</v>
      </c>
      <c r="R66" s="455">
        <f>Tabela317[[#This Row],[Participação]]*100</f>
        <v>92.81</v>
      </c>
      <c r="S66" s="422">
        <f t="shared" si="4"/>
        <v>274.64788732394368</v>
      </c>
      <c r="T66" s="422">
        <f>Tabela317[[#This Row],[META 2024]]*0.65</f>
        <v>181.53057000000001</v>
      </c>
      <c r="U66" s="421">
        <v>279.27780000000001</v>
      </c>
      <c r="V66" s="422">
        <f t="shared" si="0"/>
        <v>0.95263382219571502</v>
      </c>
      <c r="W66" s="422">
        <f t="shared" si="6"/>
        <v>0.95263382219571502</v>
      </c>
    </row>
    <row r="67" spans="1:23">
      <c r="A67" s="456">
        <v>71</v>
      </c>
      <c r="B67" s="457" t="s">
        <v>25</v>
      </c>
      <c r="C67" s="418">
        <v>18</v>
      </c>
      <c r="D67" s="418">
        <v>18</v>
      </c>
      <c r="E67" s="418">
        <v>17</v>
      </c>
      <c r="F67" s="418">
        <v>15</v>
      </c>
      <c r="G67" s="454">
        <f t="shared" si="2"/>
        <v>68</v>
      </c>
      <c r="H67" s="420">
        <v>0.98550000000000004</v>
      </c>
      <c r="I67" s="421">
        <f>Tabela317[[#This Row],[TOTAL ALUNOS ABAIXO DO BASICO]]/Tabela317[[#This Row],[TOTAL DE ALUNOS]]*100</f>
        <v>26.47058823529412</v>
      </c>
      <c r="J67" s="421">
        <f>Tabela317[[#This Row],[Abaixo do Básico]]*1</f>
        <v>26.47058823529412</v>
      </c>
      <c r="K67" s="421">
        <f>Tabela317[[#This Row],[TOTAL ALUNOS DO BASICO]]/Tabela317[[#This Row],[TOTAL DE ALUNOS]]*100</f>
        <v>26.47058823529412</v>
      </c>
      <c r="L67" s="421">
        <f>Tabela317[[#This Row],[Básico]]*2</f>
        <v>52.941176470588239</v>
      </c>
      <c r="M67" s="421">
        <f>Tabela317[[#This Row],[TOTAL ALUNOS ADEQUADO]]/Tabela317[[#This Row],[TOTAL DE ALUNOS]]*100</f>
        <v>25</v>
      </c>
      <c r="N67" s="421">
        <f>Tabela317[[#This Row],[Adequado]]*3</f>
        <v>75</v>
      </c>
      <c r="O67" s="421">
        <f>Tabela317[[#This Row],[TOTAL DE ALUNOS AVANÇADO]]/Tabela317[[#This Row],[TOTAL DE ALUNOS]]*100</f>
        <v>22.058823529411764</v>
      </c>
      <c r="P67" s="421">
        <f>Tabela317[[#This Row],[Avançado]]*4</f>
        <v>88.235294117647058</v>
      </c>
      <c r="Q67" s="421">
        <f t="shared" si="3"/>
        <v>242.64705882352945</v>
      </c>
      <c r="R67" s="455">
        <f>Tabela317[[#This Row],[Participação]]*100</f>
        <v>98.550000000000011</v>
      </c>
      <c r="S67" s="422">
        <f t="shared" si="4"/>
        <v>242.64705882352945</v>
      </c>
      <c r="T67" s="422">
        <f>Tabela317[[#This Row],[META 2024]]*0.65</f>
        <v>145.66825</v>
      </c>
      <c r="U67" s="421">
        <v>224.10499999999999</v>
      </c>
      <c r="V67" s="422">
        <f t="shared" si="0"/>
        <v>1.2363950421649221</v>
      </c>
      <c r="W67" s="422">
        <f t="shared" si="6"/>
        <v>1</v>
      </c>
    </row>
    <row r="68" spans="1:23">
      <c r="A68" s="456">
        <v>72</v>
      </c>
      <c r="B68" s="457" t="s">
        <v>220</v>
      </c>
      <c r="C68" s="418">
        <v>34</v>
      </c>
      <c r="D68" s="418">
        <v>12</v>
      </c>
      <c r="E68" s="418">
        <v>9</v>
      </c>
      <c r="F68" s="418">
        <v>3</v>
      </c>
      <c r="G68" s="454">
        <f t="shared" si="2"/>
        <v>58</v>
      </c>
      <c r="H68" s="420">
        <v>0.9355</v>
      </c>
      <c r="I68" s="421">
        <f>Tabela317[[#This Row],[TOTAL ALUNOS ABAIXO DO BASICO]]/Tabela317[[#This Row],[TOTAL DE ALUNOS]]*100</f>
        <v>58.620689655172406</v>
      </c>
      <c r="J68" s="421">
        <f>Tabela317[[#This Row],[Abaixo do Básico]]*1</f>
        <v>58.620689655172406</v>
      </c>
      <c r="K68" s="421">
        <f>Tabela317[[#This Row],[TOTAL ALUNOS DO BASICO]]/Tabela317[[#This Row],[TOTAL DE ALUNOS]]*100</f>
        <v>20.689655172413794</v>
      </c>
      <c r="L68" s="421">
        <f>Tabela317[[#This Row],[Básico]]*2</f>
        <v>41.379310344827587</v>
      </c>
      <c r="M68" s="421">
        <f>Tabela317[[#This Row],[TOTAL ALUNOS ADEQUADO]]/Tabela317[[#This Row],[TOTAL DE ALUNOS]]*100</f>
        <v>15.517241379310345</v>
      </c>
      <c r="N68" s="421">
        <f>Tabela317[[#This Row],[Adequado]]*3</f>
        <v>46.551724137931032</v>
      </c>
      <c r="O68" s="421">
        <f>Tabela317[[#This Row],[TOTAL DE ALUNOS AVANÇADO]]/Tabela317[[#This Row],[TOTAL DE ALUNOS]]*100</f>
        <v>5.1724137931034484</v>
      </c>
      <c r="P68" s="421">
        <f>Tabela317[[#This Row],[Avançado]]*4</f>
        <v>20.689655172413794</v>
      </c>
      <c r="Q68" s="421">
        <f t="shared" si="3"/>
        <v>167.24137931034483</v>
      </c>
      <c r="R68" s="455">
        <f>Tabela317[[#This Row],[Participação]]*100</f>
        <v>93.55</v>
      </c>
      <c r="S68" s="422">
        <f t="shared" si="4"/>
        <v>167.24137931034483</v>
      </c>
      <c r="T68" s="422">
        <f>Tabela317[[#This Row],[META 2024]]*0.65</f>
        <v>123.377865</v>
      </c>
      <c r="U68" s="421">
        <v>189.81209999999999</v>
      </c>
      <c r="V68" s="422">
        <f t="shared" si="0"/>
        <v>0.66025467607694788</v>
      </c>
      <c r="W68" s="422">
        <f t="shared" si="6"/>
        <v>0.66025467607694788</v>
      </c>
    </row>
    <row r="69" spans="1:23">
      <c r="A69" s="456">
        <v>73</v>
      </c>
      <c r="B69" s="457" t="s">
        <v>93</v>
      </c>
      <c r="C69" s="418">
        <v>96</v>
      </c>
      <c r="D69" s="418">
        <v>29</v>
      </c>
      <c r="E69" s="418">
        <v>28</v>
      </c>
      <c r="F69" s="418">
        <v>24</v>
      </c>
      <c r="G69" s="454">
        <f t="shared" si="2"/>
        <v>177</v>
      </c>
      <c r="H69" s="420">
        <v>0.94650000000000001</v>
      </c>
      <c r="I69" s="421">
        <f>Tabela317[[#This Row],[TOTAL ALUNOS ABAIXO DO BASICO]]/Tabela317[[#This Row],[TOTAL DE ALUNOS]]*100</f>
        <v>54.237288135593218</v>
      </c>
      <c r="J69" s="421">
        <f>Tabela317[[#This Row],[Abaixo do Básico]]*1</f>
        <v>54.237288135593218</v>
      </c>
      <c r="K69" s="421">
        <f>Tabela317[[#This Row],[TOTAL ALUNOS DO BASICO]]/Tabela317[[#This Row],[TOTAL DE ALUNOS]]*100</f>
        <v>16.38418079096045</v>
      </c>
      <c r="L69" s="421">
        <f>Tabela317[[#This Row],[Básico]]*2</f>
        <v>32.7683615819209</v>
      </c>
      <c r="M69" s="421">
        <f>Tabela317[[#This Row],[TOTAL ALUNOS ADEQUADO]]/Tabela317[[#This Row],[TOTAL DE ALUNOS]]*100</f>
        <v>15.819209039548024</v>
      </c>
      <c r="N69" s="421">
        <f>Tabela317[[#This Row],[Adequado]]*3</f>
        <v>47.457627118644069</v>
      </c>
      <c r="O69" s="421">
        <f>Tabela317[[#This Row],[TOTAL DE ALUNOS AVANÇADO]]/Tabela317[[#This Row],[TOTAL DE ALUNOS]]*100</f>
        <v>13.559322033898304</v>
      </c>
      <c r="P69" s="421">
        <f>Tabela317[[#This Row],[Avançado]]*4</f>
        <v>54.237288135593218</v>
      </c>
      <c r="Q69" s="421">
        <f t="shared" si="3"/>
        <v>188.70056497175139</v>
      </c>
      <c r="R69" s="455">
        <f>Tabela317[[#This Row],[Participação]]*100</f>
        <v>94.65</v>
      </c>
      <c r="S69" s="422">
        <f t="shared" si="4"/>
        <v>188.70056497175139</v>
      </c>
      <c r="T69" s="422">
        <f>Tabela317[[#This Row],[META 2024]]*0.65</f>
        <v>126.531015</v>
      </c>
      <c r="U69" s="421">
        <v>194.66309999999999</v>
      </c>
      <c r="V69" s="422">
        <f t="shared" ref="V69:V132" si="7">1-(U69-S69)/(U69-T69)</f>
        <v>0.91248565153629757</v>
      </c>
      <c r="W69" s="422">
        <f t="shared" si="6"/>
        <v>0.91248565153629757</v>
      </c>
    </row>
    <row r="70" spans="1:23">
      <c r="A70" s="456">
        <v>74</v>
      </c>
      <c r="B70" s="457" t="s">
        <v>191</v>
      </c>
      <c r="C70" s="418">
        <v>37</v>
      </c>
      <c r="D70" s="418">
        <v>52</v>
      </c>
      <c r="E70" s="418">
        <v>47</v>
      </c>
      <c r="F70" s="418">
        <v>61</v>
      </c>
      <c r="G70" s="454">
        <f t="shared" ref="G70:G133" si="8">SUM(C70,D70,E70,F70)</f>
        <v>197</v>
      </c>
      <c r="H70" s="420">
        <v>0.93359999999999999</v>
      </c>
      <c r="I70" s="421">
        <f>Tabela317[[#This Row],[TOTAL ALUNOS ABAIXO DO BASICO]]/Tabela317[[#This Row],[TOTAL DE ALUNOS]]*100</f>
        <v>18.781725888324875</v>
      </c>
      <c r="J70" s="421">
        <f>Tabela317[[#This Row],[Abaixo do Básico]]*1</f>
        <v>18.781725888324875</v>
      </c>
      <c r="K70" s="421">
        <f>Tabela317[[#This Row],[TOTAL ALUNOS DO BASICO]]/Tabela317[[#This Row],[TOTAL DE ALUNOS]]*100</f>
        <v>26.395939086294419</v>
      </c>
      <c r="L70" s="421">
        <f>Tabela317[[#This Row],[Básico]]*2</f>
        <v>52.791878172588838</v>
      </c>
      <c r="M70" s="421">
        <f>Tabela317[[#This Row],[TOTAL ALUNOS ADEQUADO]]/Tabela317[[#This Row],[TOTAL DE ALUNOS]]*100</f>
        <v>23.857868020304569</v>
      </c>
      <c r="N70" s="421">
        <f>Tabela317[[#This Row],[Adequado]]*3</f>
        <v>71.573604060913709</v>
      </c>
      <c r="O70" s="421">
        <f>Tabela317[[#This Row],[TOTAL DE ALUNOS AVANÇADO]]/Tabela317[[#This Row],[TOTAL DE ALUNOS]]*100</f>
        <v>30.964467005076141</v>
      </c>
      <c r="P70" s="421">
        <f>Tabela317[[#This Row],[Avançado]]*4</f>
        <v>123.85786802030456</v>
      </c>
      <c r="Q70" s="421">
        <f t="shared" ref="Q70:Q112" si="9">SUM(J70,L70,N70,P70)</f>
        <v>267.005076142132</v>
      </c>
      <c r="R70" s="455">
        <f>Tabela317[[#This Row],[Participação]]*100</f>
        <v>93.36</v>
      </c>
      <c r="S70" s="422">
        <f t="shared" ref="S70:S133" si="10">IF(R70&gt;=$B$1,Q70,(R70*Q70)/100)</f>
        <v>267.005076142132</v>
      </c>
      <c r="T70" s="422">
        <f>Tabela317[[#This Row],[META 2024]]*0.65</f>
        <v>167.49141500000002</v>
      </c>
      <c r="U70" s="421">
        <v>257.67910000000001</v>
      </c>
      <c r="V70" s="422">
        <f t="shared" si="7"/>
        <v>1.1034063147549689</v>
      </c>
      <c r="W70" s="422">
        <f t="shared" si="6"/>
        <v>1</v>
      </c>
    </row>
    <row r="71" spans="1:23">
      <c r="A71" s="456">
        <v>75</v>
      </c>
      <c r="B71" s="457" t="s">
        <v>4</v>
      </c>
      <c r="C71" s="418">
        <v>37</v>
      </c>
      <c r="D71" s="418">
        <v>16</v>
      </c>
      <c r="E71" s="418">
        <v>15</v>
      </c>
      <c r="F71" s="418">
        <v>5</v>
      </c>
      <c r="G71" s="454">
        <f t="shared" si="8"/>
        <v>73</v>
      </c>
      <c r="H71" s="420">
        <v>0.97330000000000005</v>
      </c>
      <c r="I71" s="421">
        <f>Tabela317[[#This Row],[TOTAL ALUNOS ABAIXO DO BASICO]]/Tabela317[[#This Row],[TOTAL DE ALUNOS]]*100</f>
        <v>50.684931506849317</v>
      </c>
      <c r="J71" s="421">
        <f>Tabela317[[#This Row],[Abaixo do Básico]]*1</f>
        <v>50.684931506849317</v>
      </c>
      <c r="K71" s="421">
        <f>Tabela317[[#This Row],[TOTAL ALUNOS DO BASICO]]/Tabela317[[#This Row],[TOTAL DE ALUNOS]]*100</f>
        <v>21.917808219178081</v>
      </c>
      <c r="L71" s="421">
        <f>Tabela317[[#This Row],[Básico]]*2</f>
        <v>43.835616438356162</v>
      </c>
      <c r="M71" s="421">
        <f>Tabela317[[#This Row],[TOTAL ALUNOS ADEQUADO]]/Tabela317[[#This Row],[TOTAL DE ALUNOS]]*100</f>
        <v>20.547945205479451</v>
      </c>
      <c r="N71" s="421">
        <f>Tabela317[[#This Row],[Adequado]]*3</f>
        <v>61.643835616438352</v>
      </c>
      <c r="O71" s="421">
        <f>Tabela317[[#This Row],[TOTAL DE ALUNOS AVANÇADO]]/Tabela317[[#This Row],[TOTAL DE ALUNOS]]*100</f>
        <v>6.8493150684931505</v>
      </c>
      <c r="P71" s="421">
        <f>Tabela317[[#This Row],[Avançado]]*4</f>
        <v>27.397260273972602</v>
      </c>
      <c r="Q71" s="421">
        <f t="shared" si="9"/>
        <v>183.56164383561642</v>
      </c>
      <c r="R71" s="455">
        <f>Tabela317[[#This Row],[Participação]]*100</f>
        <v>97.330000000000013</v>
      </c>
      <c r="S71" s="422">
        <f t="shared" si="10"/>
        <v>183.56164383561642</v>
      </c>
      <c r="T71" s="422">
        <f>Tabela317[[#This Row],[META 2024]]*0.65</f>
        <v>117.57999500000001</v>
      </c>
      <c r="U71" s="421">
        <v>180.89230000000001</v>
      </c>
      <c r="V71" s="422">
        <f t="shared" si="7"/>
        <v>1.04216153298504</v>
      </c>
      <c r="W71" s="422">
        <f t="shared" si="6"/>
        <v>1</v>
      </c>
    </row>
    <row r="72" spans="1:23">
      <c r="A72" s="456">
        <v>76</v>
      </c>
      <c r="B72" s="457" t="s">
        <v>128</v>
      </c>
      <c r="C72" s="418">
        <v>52</v>
      </c>
      <c r="D72" s="418">
        <v>57</v>
      </c>
      <c r="E72" s="418">
        <v>63</v>
      </c>
      <c r="F72" s="418">
        <v>45</v>
      </c>
      <c r="G72" s="454">
        <f t="shared" si="8"/>
        <v>217</v>
      </c>
      <c r="H72" s="420">
        <v>0.9234</v>
      </c>
      <c r="I72" s="421">
        <f>Tabela317[[#This Row],[TOTAL ALUNOS ABAIXO DO BASICO]]/Tabela317[[#This Row],[TOTAL DE ALUNOS]]*100</f>
        <v>23.963133640552993</v>
      </c>
      <c r="J72" s="421">
        <f>Tabela317[[#This Row],[Abaixo do Básico]]*1</f>
        <v>23.963133640552993</v>
      </c>
      <c r="K72" s="421">
        <f>Tabela317[[#This Row],[TOTAL ALUNOS DO BASICO]]/Tabela317[[#This Row],[TOTAL DE ALUNOS]]*100</f>
        <v>26.267281105990779</v>
      </c>
      <c r="L72" s="421">
        <f>Tabela317[[#This Row],[Básico]]*2</f>
        <v>52.534562211981559</v>
      </c>
      <c r="M72" s="421">
        <f>Tabela317[[#This Row],[TOTAL ALUNOS ADEQUADO]]/Tabela317[[#This Row],[TOTAL DE ALUNOS]]*100</f>
        <v>29.032258064516132</v>
      </c>
      <c r="N72" s="421">
        <f>Tabela317[[#This Row],[Adequado]]*3</f>
        <v>87.096774193548399</v>
      </c>
      <c r="O72" s="421">
        <f>Tabela317[[#This Row],[TOTAL DE ALUNOS AVANÇADO]]/Tabela317[[#This Row],[TOTAL DE ALUNOS]]*100</f>
        <v>20.737327188940093</v>
      </c>
      <c r="P72" s="421">
        <f>Tabela317[[#This Row],[Avançado]]*4</f>
        <v>82.94930875576037</v>
      </c>
      <c r="Q72" s="421">
        <f t="shared" si="9"/>
        <v>246.54377880184333</v>
      </c>
      <c r="R72" s="455">
        <f>Tabela317[[#This Row],[Participação]]*100</f>
        <v>92.34</v>
      </c>
      <c r="S72" s="422">
        <f t="shared" si="10"/>
        <v>246.54377880184333</v>
      </c>
      <c r="T72" s="422">
        <f>Tabela317[[#This Row],[META 2024]]*0.65</f>
        <v>167.08159000000003</v>
      </c>
      <c r="U72" s="421">
        <v>257.04860000000002</v>
      </c>
      <c r="V72" s="422">
        <f t="shared" si="7"/>
        <v>0.88323696432551557</v>
      </c>
      <c r="W72" s="422">
        <f t="shared" ref="W72:W135" si="11">IF(V72&lt;0,0,IF(V72&lt;=1,V72,1))</f>
        <v>0.88323696432551557</v>
      </c>
    </row>
    <row r="73" spans="1:23">
      <c r="A73" s="456">
        <v>77</v>
      </c>
      <c r="B73" s="457" t="s">
        <v>138</v>
      </c>
      <c r="C73" s="418">
        <v>56</v>
      </c>
      <c r="D73" s="418">
        <v>58</v>
      </c>
      <c r="E73" s="418">
        <v>46</v>
      </c>
      <c r="F73" s="418">
        <v>20</v>
      </c>
      <c r="G73" s="454">
        <f t="shared" si="8"/>
        <v>180</v>
      </c>
      <c r="H73" s="420">
        <v>0.78949999999999998</v>
      </c>
      <c r="I73" s="421">
        <f>Tabela317[[#This Row],[TOTAL ALUNOS ABAIXO DO BASICO]]/Tabela317[[#This Row],[TOTAL DE ALUNOS]]*100</f>
        <v>31.111111111111111</v>
      </c>
      <c r="J73" s="421">
        <f>Tabela317[[#This Row],[Abaixo do Básico]]*1</f>
        <v>31.111111111111111</v>
      </c>
      <c r="K73" s="421">
        <f>Tabela317[[#This Row],[TOTAL ALUNOS DO BASICO]]/Tabela317[[#This Row],[TOTAL DE ALUNOS]]*100</f>
        <v>32.222222222222221</v>
      </c>
      <c r="L73" s="421">
        <f>Tabela317[[#This Row],[Básico]]*2</f>
        <v>64.444444444444443</v>
      </c>
      <c r="M73" s="421">
        <f>Tabela317[[#This Row],[TOTAL ALUNOS ADEQUADO]]/Tabela317[[#This Row],[TOTAL DE ALUNOS]]*100</f>
        <v>25.555555555555554</v>
      </c>
      <c r="N73" s="421">
        <f>Tabela317[[#This Row],[Adequado]]*3</f>
        <v>76.666666666666657</v>
      </c>
      <c r="O73" s="421">
        <f>Tabela317[[#This Row],[TOTAL DE ALUNOS AVANÇADO]]/Tabela317[[#This Row],[TOTAL DE ALUNOS]]*100</f>
        <v>11.111111111111111</v>
      </c>
      <c r="P73" s="421">
        <f>Tabela317[[#This Row],[Avançado]]*4</f>
        <v>44.444444444444443</v>
      </c>
      <c r="Q73" s="421">
        <f t="shared" si="9"/>
        <v>216.66666666666669</v>
      </c>
      <c r="R73" s="455">
        <f>Tabela317[[#This Row],[Participação]]*100</f>
        <v>78.95</v>
      </c>
      <c r="S73" s="422">
        <f t="shared" si="10"/>
        <v>216.66666666666669</v>
      </c>
      <c r="T73" s="422">
        <f>Tabela317[[#This Row],[META 2024]]*0.65</f>
        <v>144.663285</v>
      </c>
      <c r="U73" s="421">
        <v>222.55889999999999</v>
      </c>
      <c r="V73" s="422">
        <f t="shared" si="7"/>
        <v>0.92435731673299826</v>
      </c>
      <c r="W73" s="422">
        <f t="shared" si="11"/>
        <v>0.92435731673299826</v>
      </c>
    </row>
    <row r="74" spans="1:23">
      <c r="A74" s="456">
        <v>78</v>
      </c>
      <c r="B74" s="457" t="s">
        <v>202</v>
      </c>
      <c r="C74" s="418">
        <v>39</v>
      </c>
      <c r="D74" s="418">
        <v>61</v>
      </c>
      <c r="E74" s="418">
        <v>60</v>
      </c>
      <c r="F74" s="418">
        <v>47</v>
      </c>
      <c r="G74" s="454">
        <f t="shared" si="8"/>
        <v>207</v>
      </c>
      <c r="H74" s="420">
        <v>0.92410000000000003</v>
      </c>
      <c r="I74" s="421">
        <f>Tabela317[[#This Row],[TOTAL ALUNOS ABAIXO DO BASICO]]/Tabela317[[#This Row],[TOTAL DE ALUNOS]]*100</f>
        <v>18.840579710144929</v>
      </c>
      <c r="J74" s="421">
        <f>Tabela317[[#This Row],[Abaixo do Básico]]*1</f>
        <v>18.840579710144929</v>
      </c>
      <c r="K74" s="421">
        <f>Tabela317[[#This Row],[TOTAL ALUNOS DO BASICO]]/Tabela317[[#This Row],[TOTAL DE ALUNOS]]*100</f>
        <v>29.468599033816425</v>
      </c>
      <c r="L74" s="421">
        <f>Tabela317[[#This Row],[Básico]]*2</f>
        <v>58.937198067632849</v>
      </c>
      <c r="M74" s="421">
        <f>Tabela317[[#This Row],[TOTAL ALUNOS ADEQUADO]]/Tabela317[[#This Row],[TOTAL DE ALUNOS]]*100</f>
        <v>28.985507246376812</v>
      </c>
      <c r="N74" s="421">
        <f>Tabela317[[#This Row],[Adequado]]*3</f>
        <v>86.956521739130437</v>
      </c>
      <c r="O74" s="421">
        <f>Tabela317[[#This Row],[TOTAL DE ALUNOS AVANÇADO]]/Tabela317[[#This Row],[TOTAL DE ALUNOS]]*100</f>
        <v>22.705314009661837</v>
      </c>
      <c r="P74" s="421">
        <f>Tabela317[[#This Row],[Avançado]]*4</f>
        <v>90.821256038647348</v>
      </c>
      <c r="Q74" s="421">
        <f t="shared" si="9"/>
        <v>255.55555555555554</v>
      </c>
      <c r="R74" s="455">
        <f>Tabela317[[#This Row],[Participação]]*100</f>
        <v>92.41</v>
      </c>
      <c r="S74" s="422">
        <f t="shared" si="10"/>
        <v>255.55555555555554</v>
      </c>
      <c r="T74" s="422">
        <f>Tabela317[[#This Row],[META 2024]]*0.65</f>
        <v>175.38469000000003</v>
      </c>
      <c r="U74" s="421">
        <v>269.82260000000002</v>
      </c>
      <c r="V74" s="422">
        <f t="shared" si="7"/>
        <v>0.84892672397721969</v>
      </c>
      <c r="W74" s="422">
        <f t="shared" si="11"/>
        <v>0.84892672397721969</v>
      </c>
    </row>
    <row r="75" spans="1:23">
      <c r="A75" s="456">
        <v>79</v>
      </c>
      <c r="B75" s="457" t="s">
        <v>124</v>
      </c>
      <c r="C75" s="418">
        <v>58</v>
      </c>
      <c r="D75" s="418">
        <v>29</v>
      </c>
      <c r="E75" s="418">
        <v>15</v>
      </c>
      <c r="F75" s="418">
        <v>7</v>
      </c>
      <c r="G75" s="454">
        <f t="shared" si="8"/>
        <v>109</v>
      </c>
      <c r="H75" s="420">
        <v>0.95609999999999995</v>
      </c>
      <c r="I75" s="421">
        <f>Tabela317[[#This Row],[TOTAL ALUNOS ABAIXO DO BASICO]]/Tabela317[[#This Row],[TOTAL DE ALUNOS]]*100</f>
        <v>53.211009174311933</v>
      </c>
      <c r="J75" s="421">
        <f>Tabela317[[#This Row],[Abaixo do Básico]]*1</f>
        <v>53.211009174311933</v>
      </c>
      <c r="K75" s="421">
        <f>Tabela317[[#This Row],[TOTAL ALUNOS DO BASICO]]/Tabela317[[#This Row],[TOTAL DE ALUNOS]]*100</f>
        <v>26.605504587155966</v>
      </c>
      <c r="L75" s="421">
        <f>Tabela317[[#This Row],[Básico]]*2</f>
        <v>53.211009174311933</v>
      </c>
      <c r="M75" s="421">
        <f>Tabela317[[#This Row],[TOTAL ALUNOS ADEQUADO]]/Tabela317[[#This Row],[TOTAL DE ALUNOS]]*100</f>
        <v>13.761467889908257</v>
      </c>
      <c r="N75" s="421">
        <f>Tabela317[[#This Row],[Adequado]]*3</f>
        <v>41.284403669724767</v>
      </c>
      <c r="O75" s="421">
        <f>Tabela317[[#This Row],[TOTAL DE ALUNOS AVANÇADO]]/Tabela317[[#This Row],[TOTAL DE ALUNOS]]*100</f>
        <v>6.4220183486238538</v>
      </c>
      <c r="P75" s="421">
        <f>Tabela317[[#This Row],[Avançado]]*4</f>
        <v>25.688073394495415</v>
      </c>
      <c r="Q75" s="421">
        <f t="shared" si="9"/>
        <v>173.39449541284404</v>
      </c>
      <c r="R75" s="455">
        <f>Tabela317[[#This Row],[Participação]]*100</f>
        <v>95.61</v>
      </c>
      <c r="S75" s="422">
        <f t="shared" si="10"/>
        <v>173.39449541284404</v>
      </c>
      <c r="T75" s="422">
        <f>Tabela317[[#This Row],[META 2024]]*0.65</f>
        <v>106.64355</v>
      </c>
      <c r="U75" s="421">
        <v>164.06700000000001</v>
      </c>
      <c r="V75" s="422">
        <f t="shared" si="7"/>
        <v>1.1624335600324263</v>
      </c>
      <c r="W75" s="422">
        <f t="shared" si="11"/>
        <v>1</v>
      </c>
    </row>
    <row r="76" spans="1:23">
      <c r="A76" s="456">
        <v>80</v>
      </c>
      <c r="B76" s="457" t="s">
        <v>217</v>
      </c>
      <c r="C76" s="418">
        <v>31</v>
      </c>
      <c r="D76" s="418">
        <v>8</v>
      </c>
      <c r="E76" s="418">
        <v>8</v>
      </c>
      <c r="F76" s="418">
        <v>6</v>
      </c>
      <c r="G76" s="454">
        <f t="shared" si="8"/>
        <v>53</v>
      </c>
      <c r="H76" s="420">
        <v>0.91379999999999995</v>
      </c>
      <c r="I76" s="421">
        <f>Tabela317[[#This Row],[TOTAL ALUNOS ABAIXO DO BASICO]]/Tabela317[[#This Row],[TOTAL DE ALUNOS]]*100</f>
        <v>58.490566037735846</v>
      </c>
      <c r="J76" s="421">
        <f>Tabela317[[#This Row],[Abaixo do Básico]]*1</f>
        <v>58.490566037735846</v>
      </c>
      <c r="K76" s="421">
        <f>Tabela317[[#This Row],[TOTAL ALUNOS DO BASICO]]/Tabela317[[#This Row],[TOTAL DE ALUNOS]]*100</f>
        <v>15.09433962264151</v>
      </c>
      <c r="L76" s="421">
        <f>Tabela317[[#This Row],[Básico]]*2</f>
        <v>30.188679245283019</v>
      </c>
      <c r="M76" s="421">
        <f>Tabela317[[#This Row],[TOTAL ALUNOS ADEQUADO]]/Tabela317[[#This Row],[TOTAL DE ALUNOS]]*100</f>
        <v>15.09433962264151</v>
      </c>
      <c r="N76" s="421">
        <f>Tabela317[[#This Row],[Adequado]]*3</f>
        <v>45.283018867924525</v>
      </c>
      <c r="O76" s="421">
        <f>Tabela317[[#This Row],[TOTAL DE ALUNOS AVANÇADO]]/Tabela317[[#This Row],[TOTAL DE ALUNOS]]*100</f>
        <v>11.320754716981133</v>
      </c>
      <c r="P76" s="421">
        <f>Tabela317[[#This Row],[Avançado]]*4</f>
        <v>45.283018867924532</v>
      </c>
      <c r="Q76" s="421">
        <f t="shared" si="9"/>
        <v>179.24528301886792</v>
      </c>
      <c r="R76" s="455">
        <f>Tabela317[[#This Row],[Participação]]*100</f>
        <v>91.38</v>
      </c>
      <c r="S76" s="422">
        <f t="shared" si="10"/>
        <v>179.24528301886792</v>
      </c>
      <c r="T76" s="422">
        <f>Tabela317[[#This Row],[META 2024]]*0.65</f>
        <v>145.45114999999998</v>
      </c>
      <c r="U76" s="421">
        <v>223.77099999999999</v>
      </c>
      <c r="V76" s="422">
        <f t="shared" si="7"/>
        <v>0.43148873521678011</v>
      </c>
      <c r="W76" s="422">
        <f t="shared" si="11"/>
        <v>0.43148873521678011</v>
      </c>
    </row>
    <row r="77" spans="1:23">
      <c r="A77" s="456">
        <v>81</v>
      </c>
      <c r="B77" s="457" t="s">
        <v>123</v>
      </c>
      <c r="C77" s="418">
        <v>51</v>
      </c>
      <c r="D77" s="418">
        <v>20</v>
      </c>
      <c r="E77" s="418">
        <v>12</v>
      </c>
      <c r="F77" s="418">
        <v>9</v>
      </c>
      <c r="G77" s="454">
        <f t="shared" si="8"/>
        <v>92</v>
      </c>
      <c r="H77" s="420">
        <v>0.88460000000000005</v>
      </c>
      <c r="I77" s="421">
        <f>Tabela317[[#This Row],[TOTAL ALUNOS ABAIXO DO BASICO]]/Tabela317[[#This Row],[TOTAL DE ALUNOS]]*100</f>
        <v>55.434782608695656</v>
      </c>
      <c r="J77" s="421">
        <f>Tabela317[[#This Row],[Abaixo do Básico]]*1</f>
        <v>55.434782608695656</v>
      </c>
      <c r="K77" s="421">
        <f>Tabela317[[#This Row],[TOTAL ALUNOS DO BASICO]]/Tabela317[[#This Row],[TOTAL DE ALUNOS]]*100</f>
        <v>21.739130434782609</v>
      </c>
      <c r="L77" s="421">
        <f>Tabela317[[#This Row],[Básico]]*2</f>
        <v>43.478260869565219</v>
      </c>
      <c r="M77" s="421">
        <f>Tabela317[[#This Row],[TOTAL ALUNOS ADEQUADO]]/Tabela317[[#This Row],[TOTAL DE ALUNOS]]*100</f>
        <v>13.043478260869565</v>
      </c>
      <c r="N77" s="421">
        <f>Tabela317[[#This Row],[Adequado]]*3</f>
        <v>39.130434782608695</v>
      </c>
      <c r="O77" s="421">
        <f>Tabela317[[#This Row],[TOTAL DE ALUNOS AVANÇADO]]/Tabela317[[#This Row],[TOTAL DE ALUNOS]]*100</f>
        <v>9.7826086956521738</v>
      </c>
      <c r="P77" s="421">
        <f>Tabela317[[#This Row],[Avançado]]*4</f>
        <v>39.130434782608695</v>
      </c>
      <c r="Q77" s="421">
        <f t="shared" si="9"/>
        <v>177.17391304347825</v>
      </c>
      <c r="R77" s="455">
        <f>Tabela317[[#This Row],[Participação]]*100</f>
        <v>88.460000000000008</v>
      </c>
      <c r="S77" s="422">
        <f t="shared" si="10"/>
        <v>177.17391304347825</v>
      </c>
      <c r="T77" s="422">
        <f>Tabela317[[#This Row],[META 2024]]*0.65</f>
        <v>131.15973</v>
      </c>
      <c r="U77" s="421">
        <v>201.7842</v>
      </c>
      <c r="V77" s="422">
        <f t="shared" si="7"/>
        <v>0.65153314486435443</v>
      </c>
      <c r="W77" s="422">
        <f t="shared" si="11"/>
        <v>0.65153314486435443</v>
      </c>
    </row>
    <row r="78" spans="1:23">
      <c r="A78" s="456">
        <v>82</v>
      </c>
      <c r="B78" s="457" t="s">
        <v>179</v>
      </c>
      <c r="C78" s="418">
        <v>25</v>
      </c>
      <c r="D78" s="418">
        <v>23</v>
      </c>
      <c r="E78" s="418">
        <v>35</v>
      </c>
      <c r="F78" s="418">
        <v>19</v>
      </c>
      <c r="G78" s="454">
        <f t="shared" si="8"/>
        <v>102</v>
      </c>
      <c r="H78" s="420">
        <v>0.91069999999999995</v>
      </c>
      <c r="I78" s="421">
        <f>Tabela317[[#This Row],[TOTAL ALUNOS ABAIXO DO BASICO]]/Tabela317[[#This Row],[TOTAL DE ALUNOS]]*100</f>
        <v>24.509803921568626</v>
      </c>
      <c r="J78" s="421">
        <f>Tabela317[[#This Row],[Abaixo do Básico]]*1</f>
        <v>24.509803921568626</v>
      </c>
      <c r="K78" s="421">
        <f>Tabela317[[#This Row],[TOTAL ALUNOS DO BASICO]]/Tabela317[[#This Row],[TOTAL DE ALUNOS]]*100</f>
        <v>22.549019607843139</v>
      </c>
      <c r="L78" s="421">
        <f>Tabela317[[#This Row],[Básico]]*2</f>
        <v>45.098039215686278</v>
      </c>
      <c r="M78" s="421">
        <f>Tabela317[[#This Row],[TOTAL ALUNOS ADEQUADO]]/Tabela317[[#This Row],[TOTAL DE ALUNOS]]*100</f>
        <v>34.313725490196077</v>
      </c>
      <c r="N78" s="421">
        <f>Tabela317[[#This Row],[Adequado]]*3</f>
        <v>102.94117647058823</v>
      </c>
      <c r="O78" s="421">
        <f>Tabela317[[#This Row],[TOTAL DE ALUNOS AVANÇADO]]/Tabela317[[#This Row],[TOTAL DE ALUNOS]]*100</f>
        <v>18.627450980392158</v>
      </c>
      <c r="P78" s="421">
        <f>Tabela317[[#This Row],[Avançado]]*4</f>
        <v>74.509803921568633</v>
      </c>
      <c r="Q78" s="421">
        <f t="shared" si="9"/>
        <v>247.05882352941177</v>
      </c>
      <c r="R78" s="455">
        <f>Tabela317[[#This Row],[Participação]]*100</f>
        <v>91.07</v>
      </c>
      <c r="S78" s="422">
        <f t="shared" si="10"/>
        <v>247.05882352941177</v>
      </c>
      <c r="T78" s="422">
        <f>Tabela317[[#This Row],[META 2024]]*0.65</f>
        <v>156.16692</v>
      </c>
      <c r="U78" s="421">
        <v>240.2568</v>
      </c>
      <c r="V78" s="422">
        <f t="shared" si="7"/>
        <v>1.0808899183755736</v>
      </c>
      <c r="W78" s="422">
        <f t="shared" si="11"/>
        <v>1</v>
      </c>
    </row>
    <row r="79" spans="1:23">
      <c r="A79" s="456">
        <v>83</v>
      </c>
      <c r="B79" s="457" t="s">
        <v>65</v>
      </c>
      <c r="C79" s="418">
        <v>9</v>
      </c>
      <c r="D79" s="418">
        <v>7</v>
      </c>
      <c r="E79" s="418">
        <v>11</v>
      </c>
      <c r="F79" s="418">
        <v>5</v>
      </c>
      <c r="G79" s="454">
        <f t="shared" si="8"/>
        <v>32</v>
      </c>
      <c r="H79" s="420">
        <v>0.9143</v>
      </c>
      <c r="I79" s="421">
        <f>Tabela317[[#This Row],[TOTAL ALUNOS ABAIXO DO BASICO]]/Tabela317[[#This Row],[TOTAL DE ALUNOS]]*100</f>
        <v>28.125</v>
      </c>
      <c r="J79" s="421">
        <f>Tabela317[[#This Row],[Abaixo do Básico]]*1</f>
        <v>28.125</v>
      </c>
      <c r="K79" s="421">
        <f>Tabela317[[#This Row],[TOTAL ALUNOS DO BASICO]]/Tabela317[[#This Row],[TOTAL DE ALUNOS]]*100</f>
        <v>21.875</v>
      </c>
      <c r="L79" s="421">
        <f>Tabela317[[#This Row],[Básico]]*2</f>
        <v>43.75</v>
      </c>
      <c r="M79" s="421">
        <f>Tabela317[[#This Row],[TOTAL ALUNOS ADEQUADO]]/Tabela317[[#This Row],[TOTAL DE ALUNOS]]*100</f>
        <v>34.375</v>
      </c>
      <c r="N79" s="421">
        <f>Tabela317[[#This Row],[Adequado]]*3</f>
        <v>103.125</v>
      </c>
      <c r="O79" s="421">
        <f>Tabela317[[#This Row],[TOTAL DE ALUNOS AVANÇADO]]/Tabela317[[#This Row],[TOTAL DE ALUNOS]]*100</f>
        <v>15.625</v>
      </c>
      <c r="P79" s="421">
        <f>Tabela317[[#This Row],[Avançado]]*4</f>
        <v>62.5</v>
      </c>
      <c r="Q79" s="421">
        <f t="shared" si="9"/>
        <v>237.5</v>
      </c>
      <c r="R79" s="455">
        <f>Tabela317[[#This Row],[Participação]]*100</f>
        <v>91.43</v>
      </c>
      <c r="S79" s="422">
        <f t="shared" si="10"/>
        <v>237.5</v>
      </c>
      <c r="T79" s="422">
        <f>Tabela317[[#This Row],[META 2024]]*0.65</f>
        <v>121.17846000000002</v>
      </c>
      <c r="U79" s="421">
        <v>186.42840000000001</v>
      </c>
      <c r="V79" s="422">
        <f t="shared" si="7"/>
        <v>1.7827072331407505</v>
      </c>
      <c r="W79" s="422">
        <f t="shared" si="11"/>
        <v>1</v>
      </c>
    </row>
    <row r="80" spans="1:23">
      <c r="A80" s="456">
        <v>84</v>
      </c>
      <c r="B80" s="457" t="s">
        <v>125</v>
      </c>
      <c r="C80" s="418">
        <v>45</v>
      </c>
      <c r="D80" s="418">
        <v>32</v>
      </c>
      <c r="E80" s="418">
        <v>27</v>
      </c>
      <c r="F80" s="418">
        <v>15</v>
      </c>
      <c r="G80" s="454">
        <f t="shared" si="8"/>
        <v>119</v>
      </c>
      <c r="H80" s="420">
        <v>0.93700000000000006</v>
      </c>
      <c r="I80" s="421">
        <f>Tabela317[[#This Row],[TOTAL ALUNOS ABAIXO DO BASICO]]/Tabela317[[#This Row],[TOTAL DE ALUNOS]]*100</f>
        <v>37.815126050420169</v>
      </c>
      <c r="J80" s="421">
        <f>Tabela317[[#This Row],[Abaixo do Básico]]*1</f>
        <v>37.815126050420169</v>
      </c>
      <c r="K80" s="421">
        <f>Tabela317[[#This Row],[TOTAL ALUNOS DO BASICO]]/Tabela317[[#This Row],[TOTAL DE ALUNOS]]*100</f>
        <v>26.890756302521009</v>
      </c>
      <c r="L80" s="421">
        <f>Tabela317[[#This Row],[Básico]]*2</f>
        <v>53.781512605042018</v>
      </c>
      <c r="M80" s="421">
        <f>Tabela317[[#This Row],[TOTAL ALUNOS ADEQUADO]]/Tabela317[[#This Row],[TOTAL DE ALUNOS]]*100</f>
        <v>22.689075630252102</v>
      </c>
      <c r="N80" s="421">
        <f>Tabela317[[#This Row],[Adequado]]*3</f>
        <v>68.067226890756302</v>
      </c>
      <c r="O80" s="421">
        <f>Tabela317[[#This Row],[TOTAL DE ALUNOS AVANÇADO]]/Tabela317[[#This Row],[TOTAL DE ALUNOS]]*100</f>
        <v>12.605042016806722</v>
      </c>
      <c r="P80" s="421">
        <f>Tabela317[[#This Row],[Avançado]]*4</f>
        <v>50.420168067226889</v>
      </c>
      <c r="Q80" s="421">
        <f t="shared" si="9"/>
        <v>210.08403361344537</v>
      </c>
      <c r="R80" s="455">
        <f>Tabela317[[#This Row],[Participação]]*100</f>
        <v>93.7</v>
      </c>
      <c r="S80" s="422">
        <f t="shared" si="10"/>
        <v>210.08403361344537</v>
      </c>
      <c r="T80" s="422">
        <f>Tabela317[[#This Row],[META 2024]]*0.65</f>
        <v>146.37610000000001</v>
      </c>
      <c r="U80" s="421">
        <v>225.19399999999999</v>
      </c>
      <c r="V80" s="422">
        <f t="shared" si="7"/>
        <v>0.80829270525407781</v>
      </c>
      <c r="W80" s="422">
        <f t="shared" si="11"/>
        <v>0.80829270525407781</v>
      </c>
    </row>
    <row r="81" spans="1:23">
      <c r="A81" s="456">
        <v>85</v>
      </c>
      <c r="B81" s="457" t="s">
        <v>157</v>
      </c>
      <c r="C81" s="418">
        <v>19</v>
      </c>
      <c r="D81" s="418">
        <v>33</v>
      </c>
      <c r="E81" s="418">
        <v>41</v>
      </c>
      <c r="F81" s="418">
        <v>32</v>
      </c>
      <c r="G81" s="454">
        <f t="shared" si="8"/>
        <v>125</v>
      </c>
      <c r="H81" s="420">
        <v>0.91239999999999999</v>
      </c>
      <c r="I81" s="421">
        <f>Tabela317[[#This Row],[TOTAL ALUNOS ABAIXO DO BASICO]]/Tabela317[[#This Row],[TOTAL DE ALUNOS]]*100</f>
        <v>15.2</v>
      </c>
      <c r="J81" s="421">
        <f>Tabela317[[#This Row],[Abaixo do Básico]]*1</f>
        <v>15.2</v>
      </c>
      <c r="K81" s="421">
        <f>Tabela317[[#This Row],[TOTAL ALUNOS DO BASICO]]/Tabela317[[#This Row],[TOTAL DE ALUNOS]]*100</f>
        <v>26.400000000000002</v>
      </c>
      <c r="L81" s="421">
        <f>Tabela317[[#This Row],[Básico]]*2</f>
        <v>52.800000000000004</v>
      </c>
      <c r="M81" s="421">
        <f>Tabela317[[#This Row],[TOTAL ALUNOS ADEQUADO]]/Tabela317[[#This Row],[TOTAL DE ALUNOS]]*100</f>
        <v>32.800000000000004</v>
      </c>
      <c r="N81" s="421">
        <f>Tabela317[[#This Row],[Adequado]]*3</f>
        <v>98.4</v>
      </c>
      <c r="O81" s="421">
        <f>Tabela317[[#This Row],[TOTAL DE ALUNOS AVANÇADO]]/Tabela317[[#This Row],[TOTAL DE ALUNOS]]*100</f>
        <v>25.6</v>
      </c>
      <c r="P81" s="421">
        <f>Tabela317[[#This Row],[Avançado]]*4</f>
        <v>102.4</v>
      </c>
      <c r="Q81" s="421">
        <f t="shared" si="9"/>
        <v>268.8</v>
      </c>
      <c r="R81" s="455">
        <f>Tabela317[[#This Row],[Participação]]*100</f>
        <v>91.24</v>
      </c>
      <c r="S81" s="422">
        <f t="shared" si="10"/>
        <v>268.8</v>
      </c>
      <c r="T81" s="422">
        <f>Tabela317[[#This Row],[META 2024]]*0.65</f>
        <v>187.04322000000002</v>
      </c>
      <c r="U81" s="421">
        <v>287.75880000000001</v>
      </c>
      <c r="V81" s="422">
        <f t="shared" si="7"/>
        <v>0.81175901484159652</v>
      </c>
      <c r="W81" s="422">
        <f t="shared" si="11"/>
        <v>0.81175901484159652</v>
      </c>
    </row>
    <row r="82" spans="1:23">
      <c r="A82" s="456">
        <v>86</v>
      </c>
      <c r="B82" s="457" t="s">
        <v>185</v>
      </c>
      <c r="C82" s="418">
        <v>45</v>
      </c>
      <c r="D82" s="418">
        <v>48</v>
      </c>
      <c r="E82" s="418">
        <v>51</v>
      </c>
      <c r="F82" s="418">
        <v>24</v>
      </c>
      <c r="G82" s="454">
        <f t="shared" si="8"/>
        <v>168</v>
      </c>
      <c r="H82" s="420">
        <v>0.94379999999999997</v>
      </c>
      <c r="I82" s="421">
        <f>Tabela317[[#This Row],[TOTAL ALUNOS ABAIXO DO BASICO]]/Tabela317[[#This Row],[TOTAL DE ALUNOS]]*100</f>
        <v>26.785714285714285</v>
      </c>
      <c r="J82" s="421">
        <f>Tabela317[[#This Row],[Abaixo do Básico]]*1</f>
        <v>26.785714285714285</v>
      </c>
      <c r="K82" s="421">
        <f>Tabela317[[#This Row],[TOTAL ALUNOS DO BASICO]]/Tabela317[[#This Row],[TOTAL DE ALUNOS]]*100</f>
        <v>28.571428571428569</v>
      </c>
      <c r="L82" s="421">
        <f>Tabela317[[#This Row],[Básico]]*2</f>
        <v>57.142857142857139</v>
      </c>
      <c r="M82" s="421">
        <f>Tabela317[[#This Row],[TOTAL ALUNOS ADEQUADO]]/Tabela317[[#This Row],[TOTAL DE ALUNOS]]*100</f>
        <v>30.357142857142854</v>
      </c>
      <c r="N82" s="421">
        <f>Tabela317[[#This Row],[Adequado]]*3</f>
        <v>91.071428571428555</v>
      </c>
      <c r="O82" s="421">
        <f>Tabela317[[#This Row],[TOTAL DE ALUNOS AVANÇADO]]/Tabela317[[#This Row],[TOTAL DE ALUNOS]]*100</f>
        <v>14.285714285714285</v>
      </c>
      <c r="P82" s="421">
        <f>Tabela317[[#This Row],[Avançado]]*4</f>
        <v>57.142857142857139</v>
      </c>
      <c r="Q82" s="421">
        <f t="shared" si="9"/>
        <v>232.14285714285711</v>
      </c>
      <c r="R82" s="455">
        <f>Tabela317[[#This Row],[Participação]]*100</f>
        <v>94.38</v>
      </c>
      <c r="S82" s="422">
        <f t="shared" si="10"/>
        <v>232.14285714285711</v>
      </c>
      <c r="T82" s="422">
        <f>Tabela317[[#This Row],[META 2024]]*0.65</f>
        <v>139.99063000000001</v>
      </c>
      <c r="U82" s="421">
        <v>215.37020000000001</v>
      </c>
      <c r="V82" s="422">
        <f t="shared" si="7"/>
        <v>1.2225093237180458</v>
      </c>
      <c r="W82" s="422">
        <f t="shared" si="11"/>
        <v>1</v>
      </c>
    </row>
    <row r="83" spans="1:23">
      <c r="A83" s="456">
        <v>87</v>
      </c>
      <c r="B83" s="457" t="s">
        <v>35</v>
      </c>
      <c r="C83" s="418">
        <v>29</v>
      </c>
      <c r="D83" s="418">
        <v>16</v>
      </c>
      <c r="E83" s="418">
        <v>7</v>
      </c>
      <c r="F83" s="418">
        <v>5</v>
      </c>
      <c r="G83" s="454">
        <f t="shared" si="8"/>
        <v>57</v>
      </c>
      <c r="H83" s="420">
        <v>0.87690000000000001</v>
      </c>
      <c r="I83" s="421">
        <f>Tabela317[[#This Row],[TOTAL ALUNOS ABAIXO DO BASICO]]/Tabela317[[#This Row],[TOTAL DE ALUNOS]]*100</f>
        <v>50.877192982456144</v>
      </c>
      <c r="J83" s="421">
        <f>Tabela317[[#This Row],[Abaixo do Básico]]*1</f>
        <v>50.877192982456144</v>
      </c>
      <c r="K83" s="421">
        <f>Tabela317[[#This Row],[TOTAL ALUNOS DO BASICO]]/Tabela317[[#This Row],[TOTAL DE ALUNOS]]*100</f>
        <v>28.07017543859649</v>
      </c>
      <c r="L83" s="421">
        <f>Tabela317[[#This Row],[Básico]]*2</f>
        <v>56.140350877192979</v>
      </c>
      <c r="M83" s="421">
        <f>Tabela317[[#This Row],[TOTAL ALUNOS ADEQUADO]]/Tabela317[[#This Row],[TOTAL DE ALUNOS]]*100</f>
        <v>12.280701754385964</v>
      </c>
      <c r="N83" s="421">
        <f>Tabela317[[#This Row],[Adequado]]*3</f>
        <v>36.84210526315789</v>
      </c>
      <c r="O83" s="421">
        <f>Tabela317[[#This Row],[TOTAL DE ALUNOS AVANÇADO]]/Tabela317[[#This Row],[TOTAL DE ALUNOS]]*100</f>
        <v>8.7719298245614024</v>
      </c>
      <c r="P83" s="421">
        <f>Tabela317[[#This Row],[Avançado]]*4</f>
        <v>35.087719298245609</v>
      </c>
      <c r="Q83" s="421">
        <f t="shared" si="9"/>
        <v>178.94736842105263</v>
      </c>
      <c r="R83" s="455">
        <f>Tabela317[[#This Row],[Participação]]*100</f>
        <v>87.69</v>
      </c>
      <c r="S83" s="422">
        <f t="shared" si="10"/>
        <v>178.94736842105263</v>
      </c>
      <c r="T83" s="422">
        <f>Tabela317[[#This Row],[META 2024]]*0.65</f>
        <v>85.572370000000006</v>
      </c>
      <c r="U83" s="421">
        <v>131.6498</v>
      </c>
      <c r="V83" s="422">
        <f t="shared" si="7"/>
        <v>2.0264801752409509</v>
      </c>
      <c r="W83" s="422">
        <f t="shared" si="11"/>
        <v>1</v>
      </c>
    </row>
    <row r="84" spans="1:23">
      <c r="A84" s="456">
        <v>88</v>
      </c>
      <c r="B84" s="457" t="s">
        <v>153</v>
      </c>
      <c r="C84" s="418">
        <v>70</v>
      </c>
      <c r="D84" s="418">
        <v>36</v>
      </c>
      <c r="E84" s="418">
        <v>24</v>
      </c>
      <c r="F84" s="418">
        <v>16</v>
      </c>
      <c r="G84" s="454">
        <f t="shared" si="8"/>
        <v>146</v>
      </c>
      <c r="H84" s="420">
        <v>0.96050000000000002</v>
      </c>
      <c r="I84" s="421">
        <f>Tabela317[[#This Row],[TOTAL ALUNOS ABAIXO DO BASICO]]/Tabela317[[#This Row],[TOTAL DE ALUNOS]]*100</f>
        <v>47.945205479452049</v>
      </c>
      <c r="J84" s="421">
        <f>Tabela317[[#This Row],[Abaixo do Básico]]*1</f>
        <v>47.945205479452049</v>
      </c>
      <c r="K84" s="421">
        <f>Tabela317[[#This Row],[TOTAL ALUNOS DO BASICO]]/Tabela317[[#This Row],[TOTAL DE ALUNOS]]*100</f>
        <v>24.657534246575342</v>
      </c>
      <c r="L84" s="421">
        <f>Tabela317[[#This Row],[Básico]]*2</f>
        <v>49.315068493150683</v>
      </c>
      <c r="M84" s="421">
        <f>Tabela317[[#This Row],[TOTAL ALUNOS ADEQUADO]]/Tabela317[[#This Row],[TOTAL DE ALUNOS]]*100</f>
        <v>16.43835616438356</v>
      </c>
      <c r="N84" s="421">
        <f>Tabela317[[#This Row],[Adequado]]*3</f>
        <v>49.315068493150676</v>
      </c>
      <c r="O84" s="421">
        <f>Tabela317[[#This Row],[TOTAL DE ALUNOS AVANÇADO]]/Tabela317[[#This Row],[TOTAL DE ALUNOS]]*100</f>
        <v>10.95890410958904</v>
      </c>
      <c r="P84" s="421">
        <f>Tabela317[[#This Row],[Avançado]]*4</f>
        <v>43.835616438356162</v>
      </c>
      <c r="Q84" s="421">
        <f t="shared" si="9"/>
        <v>190.41095890410958</v>
      </c>
      <c r="R84" s="455">
        <f>Tabela317[[#This Row],[Participação]]*100</f>
        <v>96.05</v>
      </c>
      <c r="S84" s="422">
        <f t="shared" si="10"/>
        <v>190.41095890410958</v>
      </c>
      <c r="T84" s="422">
        <f>Tabela317[[#This Row],[META 2024]]*0.65</f>
        <v>139.19191000000001</v>
      </c>
      <c r="U84" s="421">
        <v>214.1414</v>
      </c>
      <c r="V84" s="422">
        <f t="shared" si="7"/>
        <v>0.68338088630235605</v>
      </c>
      <c r="W84" s="422">
        <f t="shared" si="11"/>
        <v>0.68338088630235605</v>
      </c>
    </row>
    <row r="85" spans="1:23">
      <c r="A85" s="456">
        <v>89</v>
      </c>
      <c r="B85" s="457" t="s">
        <v>205</v>
      </c>
      <c r="C85" s="418">
        <v>17</v>
      </c>
      <c r="D85" s="418">
        <v>18</v>
      </c>
      <c r="E85" s="418">
        <v>8</v>
      </c>
      <c r="F85" s="418">
        <v>4</v>
      </c>
      <c r="G85" s="454">
        <f t="shared" si="8"/>
        <v>47</v>
      </c>
      <c r="H85" s="420">
        <v>0.90380000000000005</v>
      </c>
      <c r="I85" s="421">
        <f>Tabela317[[#This Row],[TOTAL ALUNOS ABAIXO DO BASICO]]/Tabela317[[#This Row],[TOTAL DE ALUNOS]]*100</f>
        <v>36.170212765957451</v>
      </c>
      <c r="J85" s="421">
        <f>Tabela317[[#This Row],[Abaixo do Básico]]*1</f>
        <v>36.170212765957451</v>
      </c>
      <c r="K85" s="421">
        <f>Tabela317[[#This Row],[TOTAL ALUNOS DO BASICO]]/Tabela317[[#This Row],[TOTAL DE ALUNOS]]*100</f>
        <v>38.297872340425535</v>
      </c>
      <c r="L85" s="421">
        <f>Tabela317[[#This Row],[Básico]]*2</f>
        <v>76.59574468085107</v>
      </c>
      <c r="M85" s="421">
        <f>Tabela317[[#This Row],[TOTAL ALUNOS ADEQUADO]]/Tabela317[[#This Row],[TOTAL DE ALUNOS]]*100</f>
        <v>17.021276595744681</v>
      </c>
      <c r="N85" s="421">
        <f>Tabela317[[#This Row],[Adequado]]*3</f>
        <v>51.063829787234042</v>
      </c>
      <c r="O85" s="421">
        <f>Tabela317[[#This Row],[TOTAL DE ALUNOS AVANÇADO]]/Tabela317[[#This Row],[TOTAL DE ALUNOS]]*100</f>
        <v>8.5106382978723403</v>
      </c>
      <c r="P85" s="421">
        <f>Tabela317[[#This Row],[Avançado]]*4</f>
        <v>34.042553191489361</v>
      </c>
      <c r="Q85" s="421">
        <f t="shared" si="9"/>
        <v>197.87234042553192</v>
      </c>
      <c r="R85" s="455">
        <f>Tabela317[[#This Row],[Participação]]*100</f>
        <v>90.38000000000001</v>
      </c>
      <c r="S85" s="422">
        <f t="shared" si="10"/>
        <v>197.87234042553192</v>
      </c>
      <c r="T85" s="422">
        <f>Tabela317[[#This Row],[META 2024]]*0.65</f>
        <v>157.54205999999999</v>
      </c>
      <c r="U85" s="421">
        <v>242.3724</v>
      </c>
      <c r="V85" s="422">
        <f t="shared" si="7"/>
        <v>0.47542283133053487</v>
      </c>
      <c r="W85" s="422">
        <f t="shared" si="11"/>
        <v>0.47542283133053487</v>
      </c>
    </row>
    <row r="86" spans="1:23">
      <c r="A86" s="456">
        <v>90</v>
      </c>
      <c r="B86" s="457" t="s">
        <v>102</v>
      </c>
      <c r="C86" s="418">
        <v>15</v>
      </c>
      <c r="D86" s="418">
        <v>5</v>
      </c>
      <c r="E86" s="418">
        <v>4</v>
      </c>
      <c r="F86" s="418">
        <v>2</v>
      </c>
      <c r="G86" s="454">
        <f t="shared" si="8"/>
        <v>26</v>
      </c>
      <c r="H86" s="420">
        <v>0.57779999999999998</v>
      </c>
      <c r="I86" s="421">
        <f>Tabela317[[#This Row],[TOTAL ALUNOS ABAIXO DO BASICO]]/Tabela317[[#This Row],[TOTAL DE ALUNOS]]*100</f>
        <v>57.692307692307686</v>
      </c>
      <c r="J86" s="421">
        <f>Tabela317[[#This Row],[Abaixo do Básico]]*1</f>
        <v>57.692307692307686</v>
      </c>
      <c r="K86" s="421">
        <f>Tabela317[[#This Row],[TOTAL ALUNOS DO BASICO]]/Tabela317[[#This Row],[TOTAL DE ALUNOS]]*100</f>
        <v>19.230769230769234</v>
      </c>
      <c r="L86" s="421">
        <f>Tabela317[[#This Row],[Básico]]*2</f>
        <v>38.461538461538467</v>
      </c>
      <c r="M86" s="421">
        <f>Tabela317[[#This Row],[TOTAL ALUNOS ADEQUADO]]/Tabela317[[#This Row],[TOTAL DE ALUNOS]]*100</f>
        <v>15.384615384615385</v>
      </c>
      <c r="N86" s="421">
        <f>Tabela317[[#This Row],[Adequado]]*3</f>
        <v>46.153846153846153</v>
      </c>
      <c r="O86" s="421">
        <f>Tabela317[[#This Row],[TOTAL DE ALUNOS AVANÇADO]]/Tabela317[[#This Row],[TOTAL DE ALUNOS]]*100</f>
        <v>7.6923076923076925</v>
      </c>
      <c r="P86" s="421">
        <f>Tabela317[[#This Row],[Avançado]]*4</f>
        <v>30.76923076923077</v>
      </c>
      <c r="Q86" s="421">
        <f t="shared" si="9"/>
        <v>173.07692307692309</v>
      </c>
      <c r="R86" s="455">
        <f>Tabela317[[#This Row],[Participação]]*100</f>
        <v>57.78</v>
      </c>
      <c r="S86" s="422">
        <f t="shared" si="10"/>
        <v>173.07692307692309</v>
      </c>
      <c r="T86" s="422">
        <f>Tabela317[[#This Row],[META 2024]]*0.65</f>
        <v>116.01317</v>
      </c>
      <c r="U86" s="421">
        <v>178.48179999999999</v>
      </c>
      <c r="V86" s="422">
        <f t="shared" si="7"/>
        <v>0.91347854238076143</v>
      </c>
      <c r="W86" s="422">
        <f t="shared" si="11"/>
        <v>0.91347854238076143</v>
      </c>
    </row>
    <row r="87" spans="1:23">
      <c r="A87" s="456">
        <v>91</v>
      </c>
      <c r="B87" s="457" t="s">
        <v>176</v>
      </c>
      <c r="C87" s="418">
        <v>29</v>
      </c>
      <c r="D87" s="418">
        <v>30</v>
      </c>
      <c r="E87" s="418">
        <v>38</v>
      </c>
      <c r="F87" s="418">
        <v>35</v>
      </c>
      <c r="G87" s="454">
        <f t="shared" si="8"/>
        <v>132</v>
      </c>
      <c r="H87" s="420">
        <v>0.80979999999999996</v>
      </c>
      <c r="I87" s="421">
        <f>Tabela317[[#This Row],[TOTAL ALUNOS ABAIXO DO BASICO]]/Tabela317[[#This Row],[TOTAL DE ALUNOS]]*100</f>
        <v>21.969696969696969</v>
      </c>
      <c r="J87" s="421">
        <f>Tabela317[[#This Row],[Abaixo do Básico]]*1</f>
        <v>21.969696969696969</v>
      </c>
      <c r="K87" s="421">
        <f>Tabela317[[#This Row],[TOTAL ALUNOS DO BASICO]]/Tabela317[[#This Row],[TOTAL DE ALUNOS]]*100</f>
        <v>22.727272727272727</v>
      </c>
      <c r="L87" s="421">
        <f>Tabela317[[#This Row],[Básico]]*2</f>
        <v>45.454545454545453</v>
      </c>
      <c r="M87" s="421">
        <f>Tabela317[[#This Row],[TOTAL ALUNOS ADEQUADO]]/Tabela317[[#This Row],[TOTAL DE ALUNOS]]*100</f>
        <v>28.787878787878789</v>
      </c>
      <c r="N87" s="421">
        <f>Tabela317[[#This Row],[Adequado]]*3</f>
        <v>86.363636363636374</v>
      </c>
      <c r="O87" s="421">
        <f>Tabela317[[#This Row],[TOTAL DE ALUNOS AVANÇADO]]/Tabela317[[#This Row],[TOTAL DE ALUNOS]]*100</f>
        <v>26.515151515151516</v>
      </c>
      <c r="P87" s="421">
        <f>Tabela317[[#This Row],[Avançado]]*4</f>
        <v>106.06060606060606</v>
      </c>
      <c r="Q87" s="421">
        <f t="shared" si="9"/>
        <v>259.84848484848487</v>
      </c>
      <c r="R87" s="455">
        <f>Tabela317[[#This Row],[Participação]]*100</f>
        <v>80.97999999999999</v>
      </c>
      <c r="S87" s="422">
        <f t="shared" si="10"/>
        <v>259.84848484848487</v>
      </c>
      <c r="T87" s="422">
        <f>Tabela317[[#This Row],[META 2024]]*0.65</f>
        <v>160.334395</v>
      </c>
      <c r="U87" s="421">
        <v>246.66829999999999</v>
      </c>
      <c r="V87" s="422">
        <f t="shared" si="7"/>
        <v>1.1526652228748935</v>
      </c>
      <c r="W87" s="422">
        <f t="shared" si="11"/>
        <v>1</v>
      </c>
    </row>
    <row r="88" spans="1:23">
      <c r="A88" s="456">
        <v>92</v>
      </c>
      <c r="B88" s="457" t="s">
        <v>154</v>
      </c>
      <c r="C88" s="418">
        <v>29</v>
      </c>
      <c r="D88" s="418">
        <v>17</v>
      </c>
      <c r="E88" s="418">
        <v>6</v>
      </c>
      <c r="F88" s="418">
        <v>3</v>
      </c>
      <c r="G88" s="454">
        <f t="shared" si="8"/>
        <v>55</v>
      </c>
      <c r="H88" s="420">
        <v>0.94830000000000003</v>
      </c>
      <c r="I88" s="421">
        <f>Tabela317[[#This Row],[TOTAL ALUNOS ABAIXO DO BASICO]]/Tabela317[[#This Row],[TOTAL DE ALUNOS]]*100</f>
        <v>52.72727272727272</v>
      </c>
      <c r="J88" s="421">
        <f>Tabela317[[#This Row],[Abaixo do Básico]]*1</f>
        <v>52.72727272727272</v>
      </c>
      <c r="K88" s="421">
        <f>Tabela317[[#This Row],[TOTAL ALUNOS DO BASICO]]/Tabela317[[#This Row],[TOTAL DE ALUNOS]]*100</f>
        <v>30.909090909090907</v>
      </c>
      <c r="L88" s="421">
        <f>Tabela317[[#This Row],[Básico]]*2</f>
        <v>61.818181818181813</v>
      </c>
      <c r="M88" s="421">
        <f>Tabela317[[#This Row],[TOTAL ALUNOS ADEQUADO]]/Tabela317[[#This Row],[TOTAL DE ALUNOS]]*100</f>
        <v>10.909090909090908</v>
      </c>
      <c r="N88" s="421">
        <f>Tabela317[[#This Row],[Adequado]]*3</f>
        <v>32.727272727272727</v>
      </c>
      <c r="O88" s="421">
        <f>Tabela317[[#This Row],[TOTAL DE ALUNOS AVANÇADO]]/Tabela317[[#This Row],[TOTAL DE ALUNOS]]*100</f>
        <v>5.4545454545454541</v>
      </c>
      <c r="P88" s="421">
        <f>Tabela317[[#This Row],[Avançado]]*4</f>
        <v>21.818181818181817</v>
      </c>
      <c r="Q88" s="421">
        <f t="shared" si="9"/>
        <v>169.09090909090907</v>
      </c>
      <c r="R88" s="455">
        <f>Tabela317[[#This Row],[Participação]]*100</f>
        <v>94.83</v>
      </c>
      <c r="S88" s="422">
        <f t="shared" si="10"/>
        <v>169.09090909090907</v>
      </c>
      <c r="T88" s="422">
        <f>Tabela317[[#This Row],[META 2024]]*0.65</f>
        <v>119.33863500000001</v>
      </c>
      <c r="U88" s="421">
        <v>183.59790000000001</v>
      </c>
      <c r="V88" s="422">
        <f t="shared" si="7"/>
        <v>0.77424281293769948</v>
      </c>
      <c r="W88" s="422">
        <f t="shared" si="11"/>
        <v>0.77424281293769948</v>
      </c>
    </row>
    <row r="89" spans="1:23">
      <c r="A89" s="456">
        <v>93</v>
      </c>
      <c r="B89" s="457" t="s">
        <v>207</v>
      </c>
      <c r="C89" s="418">
        <v>23</v>
      </c>
      <c r="D89" s="418">
        <v>7</v>
      </c>
      <c r="E89" s="418"/>
      <c r="F89" s="418"/>
      <c r="G89" s="454">
        <f t="shared" si="8"/>
        <v>30</v>
      </c>
      <c r="H89" s="420">
        <v>1</v>
      </c>
      <c r="I89" s="421">
        <f>Tabela317[[#This Row],[TOTAL ALUNOS ABAIXO DO BASICO]]/Tabela317[[#This Row],[TOTAL DE ALUNOS]]*100</f>
        <v>76.666666666666671</v>
      </c>
      <c r="J89" s="421">
        <f>Tabela317[[#This Row],[Abaixo do Básico]]*1</f>
        <v>76.666666666666671</v>
      </c>
      <c r="K89" s="421">
        <f>Tabela317[[#This Row],[TOTAL ALUNOS DO BASICO]]/Tabela317[[#This Row],[TOTAL DE ALUNOS]]*100</f>
        <v>23.333333333333332</v>
      </c>
      <c r="L89" s="421">
        <f>Tabela317[[#This Row],[Básico]]*2</f>
        <v>46.666666666666664</v>
      </c>
      <c r="M89" s="421">
        <f>Tabela317[[#This Row],[TOTAL ALUNOS ADEQUADO]]/Tabela317[[#This Row],[TOTAL DE ALUNOS]]*100</f>
        <v>0</v>
      </c>
      <c r="N89" s="421">
        <f>Tabela317[[#This Row],[Adequado]]*3</f>
        <v>0</v>
      </c>
      <c r="O89" s="421">
        <f>Tabela317[[#This Row],[TOTAL DE ALUNOS AVANÇADO]]/Tabela317[[#This Row],[TOTAL DE ALUNOS]]*100</f>
        <v>0</v>
      </c>
      <c r="P89" s="421">
        <f>Tabela317[[#This Row],[Avançado]]*4</f>
        <v>0</v>
      </c>
      <c r="Q89" s="421">
        <f t="shared" si="9"/>
        <v>123.33333333333334</v>
      </c>
      <c r="R89" s="455">
        <f>Tabela317[[#This Row],[Participação]]*100</f>
        <v>100</v>
      </c>
      <c r="S89" s="422">
        <f t="shared" si="10"/>
        <v>123.33333333333334</v>
      </c>
      <c r="T89" s="422">
        <f>Tabela317[[#This Row],[META 2024]]*0.65</f>
        <v>115.11786000000001</v>
      </c>
      <c r="U89" s="421">
        <v>177.1044</v>
      </c>
      <c r="V89" s="422">
        <f t="shared" si="7"/>
        <v>0.13253640763516294</v>
      </c>
      <c r="W89" s="422">
        <f t="shared" si="11"/>
        <v>0.13253640763516294</v>
      </c>
    </row>
    <row r="90" spans="1:23">
      <c r="A90" s="456">
        <v>94</v>
      </c>
      <c r="B90" s="457" t="s">
        <v>84</v>
      </c>
      <c r="C90" s="418">
        <v>46</v>
      </c>
      <c r="D90" s="418">
        <v>61</v>
      </c>
      <c r="E90" s="418">
        <v>44</v>
      </c>
      <c r="F90" s="418">
        <v>37</v>
      </c>
      <c r="G90" s="454">
        <f t="shared" si="8"/>
        <v>188</v>
      </c>
      <c r="H90" s="420">
        <v>0.94</v>
      </c>
      <c r="I90" s="421">
        <f>Tabela317[[#This Row],[TOTAL ALUNOS ABAIXO DO BASICO]]/Tabela317[[#This Row],[TOTAL DE ALUNOS]]*100</f>
        <v>24.468085106382979</v>
      </c>
      <c r="J90" s="421">
        <f>Tabela317[[#This Row],[Abaixo do Básico]]*1</f>
        <v>24.468085106382979</v>
      </c>
      <c r="K90" s="421">
        <f>Tabela317[[#This Row],[TOTAL ALUNOS DO BASICO]]/Tabela317[[#This Row],[TOTAL DE ALUNOS]]*100</f>
        <v>32.446808510638299</v>
      </c>
      <c r="L90" s="421">
        <f>Tabela317[[#This Row],[Básico]]*2</f>
        <v>64.893617021276597</v>
      </c>
      <c r="M90" s="421">
        <f>Tabela317[[#This Row],[TOTAL ALUNOS ADEQUADO]]/Tabela317[[#This Row],[TOTAL DE ALUNOS]]*100</f>
        <v>23.404255319148938</v>
      </c>
      <c r="N90" s="421">
        <f>Tabela317[[#This Row],[Adequado]]*3</f>
        <v>70.212765957446805</v>
      </c>
      <c r="O90" s="421">
        <f>Tabela317[[#This Row],[TOTAL DE ALUNOS AVANÇADO]]/Tabela317[[#This Row],[TOTAL DE ALUNOS]]*100</f>
        <v>19.680851063829788</v>
      </c>
      <c r="P90" s="421">
        <f>Tabela317[[#This Row],[Avançado]]*4</f>
        <v>78.723404255319153</v>
      </c>
      <c r="Q90" s="421">
        <f t="shared" si="9"/>
        <v>238.29787234042556</v>
      </c>
      <c r="R90" s="455">
        <f>Tabela317[[#This Row],[Participação]]*100</f>
        <v>94</v>
      </c>
      <c r="S90" s="422">
        <f t="shared" si="10"/>
        <v>238.29787234042556</v>
      </c>
      <c r="T90" s="422">
        <f>Tabela317[[#This Row],[META 2024]]*0.65</f>
        <v>154.25780500000002</v>
      </c>
      <c r="U90" s="421">
        <v>237.31970000000001</v>
      </c>
      <c r="V90" s="422">
        <f t="shared" si="7"/>
        <v>1.0117764269696177</v>
      </c>
      <c r="W90" s="422">
        <f t="shared" si="11"/>
        <v>1</v>
      </c>
    </row>
    <row r="91" spans="1:23">
      <c r="A91" s="456">
        <v>95</v>
      </c>
      <c r="B91" s="457" t="s">
        <v>111</v>
      </c>
      <c r="C91" s="418">
        <v>51</v>
      </c>
      <c r="D91" s="418">
        <v>42</v>
      </c>
      <c r="E91" s="418">
        <v>35</v>
      </c>
      <c r="F91" s="418">
        <v>36</v>
      </c>
      <c r="G91" s="454">
        <f t="shared" si="8"/>
        <v>164</v>
      </c>
      <c r="H91" s="420">
        <v>0.9425</v>
      </c>
      <c r="I91" s="421">
        <f>Tabela317[[#This Row],[TOTAL ALUNOS ABAIXO DO BASICO]]/Tabela317[[#This Row],[TOTAL DE ALUNOS]]*100</f>
        <v>31.097560975609756</v>
      </c>
      <c r="J91" s="421">
        <f>Tabela317[[#This Row],[Abaixo do Básico]]*1</f>
        <v>31.097560975609756</v>
      </c>
      <c r="K91" s="421">
        <f>Tabela317[[#This Row],[TOTAL ALUNOS DO BASICO]]/Tabela317[[#This Row],[TOTAL DE ALUNOS]]*100</f>
        <v>25.609756097560975</v>
      </c>
      <c r="L91" s="421">
        <f>Tabela317[[#This Row],[Básico]]*2</f>
        <v>51.219512195121951</v>
      </c>
      <c r="M91" s="421">
        <f>Tabela317[[#This Row],[TOTAL ALUNOS ADEQUADO]]/Tabela317[[#This Row],[TOTAL DE ALUNOS]]*100</f>
        <v>21.341463414634145</v>
      </c>
      <c r="N91" s="421">
        <f>Tabela317[[#This Row],[Adequado]]*3</f>
        <v>64.024390243902431</v>
      </c>
      <c r="O91" s="421">
        <f>Tabela317[[#This Row],[TOTAL DE ALUNOS AVANÇADO]]/Tabela317[[#This Row],[TOTAL DE ALUNOS]]*100</f>
        <v>21.951219512195124</v>
      </c>
      <c r="P91" s="421">
        <f>Tabela317[[#This Row],[Avançado]]*4</f>
        <v>87.804878048780495</v>
      </c>
      <c r="Q91" s="421">
        <f t="shared" si="9"/>
        <v>234.14634146341461</v>
      </c>
      <c r="R91" s="455">
        <f>Tabela317[[#This Row],[Participação]]*100</f>
        <v>94.25</v>
      </c>
      <c r="S91" s="422">
        <f t="shared" si="10"/>
        <v>234.14634146341461</v>
      </c>
      <c r="T91" s="422">
        <f>Tabela317[[#This Row],[META 2024]]*0.65</f>
        <v>167.43298000000001</v>
      </c>
      <c r="U91" s="421">
        <v>257.58920000000001</v>
      </c>
      <c r="V91" s="422">
        <f t="shared" si="7"/>
        <v>0.7399751394126175</v>
      </c>
      <c r="W91" s="422">
        <f t="shared" si="11"/>
        <v>0.7399751394126175</v>
      </c>
    </row>
    <row r="92" spans="1:23">
      <c r="A92" s="456">
        <v>96</v>
      </c>
      <c r="B92" s="457" t="s">
        <v>193</v>
      </c>
      <c r="C92" s="418">
        <v>90</v>
      </c>
      <c r="D92" s="418">
        <v>91</v>
      </c>
      <c r="E92" s="418">
        <v>87</v>
      </c>
      <c r="F92" s="418">
        <v>43</v>
      </c>
      <c r="G92" s="454">
        <f t="shared" si="8"/>
        <v>311</v>
      </c>
      <c r="H92" s="420">
        <v>0.91200000000000003</v>
      </c>
      <c r="I92" s="421">
        <f>Tabela317[[#This Row],[TOTAL ALUNOS ABAIXO DO BASICO]]/Tabela317[[#This Row],[TOTAL DE ALUNOS]]*100</f>
        <v>28.938906752411576</v>
      </c>
      <c r="J92" s="421">
        <f>Tabela317[[#This Row],[Abaixo do Básico]]*1</f>
        <v>28.938906752411576</v>
      </c>
      <c r="K92" s="421">
        <f>Tabela317[[#This Row],[TOTAL ALUNOS DO BASICO]]/Tabela317[[#This Row],[TOTAL DE ALUNOS]]*100</f>
        <v>29.260450160771708</v>
      </c>
      <c r="L92" s="421">
        <f>Tabela317[[#This Row],[Básico]]*2</f>
        <v>58.520900321543415</v>
      </c>
      <c r="M92" s="421">
        <f>Tabela317[[#This Row],[TOTAL ALUNOS ADEQUADO]]/Tabela317[[#This Row],[TOTAL DE ALUNOS]]*100</f>
        <v>27.974276527331188</v>
      </c>
      <c r="N92" s="421">
        <f>Tabela317[[#This Row],[Adequado]]*3</f>
        <v>83.922829581993568</v>
      </c>
      <c r="O92" s="421">
        <f>Tabela317[[#This Row],[TOTAL DE ALUNOS AVANÇADO]]/Tabela317[[#This Row],[TOTAL DE ALUNOS]]*100</f>
        <v>13.826366559485532</v>
      </c>
      <c r="P92" s="421">
        <f>Tabela317[[#This Row],[Avançado]]*4</f>
        <v>55.305466237942127</v>
      </c>
      <c r="Q92" s="421">
        <f t="shared" si="9"/>
        <v>226.68810289389069</v>
      </c>
      <c r="R92" s="455">
        <f>Tabela317[[#This Row],[Participação]]*100</f>
        <v>91.2</v>
      </c>
      <c r="S92" s="422">
        <f t="shared" si="10"/>
        <v>226.68810289389069</v>
      </c>
      <c r="T92" s="422">
        <f>Tabela317[[#This Row],[META 2024]]*0.65</f>
        <v>150.43353000000002</v>
      </c>
      <c r="U92" s="421">
        <v>231.43620000000001</v>
      </c>
      <c r="V92" s="422">
        <f t="shared" si="7"/>
        <v>0.94138344938371377</v>
      </c>
      <c r="W92" s="422">
        <f t="shared" si="11"/>
        <v>0.94138344938371377</v>
      </c>
    </row>
    <row r="93" spans="1:23">
      <c r="A93" s="456">
        <v>97</v>
      </c>
      <c r="B93" s="457" t="s">
        <v>140</v>
      </c>
      <c r="C93" s="418">
        <v>45</v>
      </c>
      <c r="D93" s="418">
        <v>26</v>
      </c>
      <c r="E93" s="418">
        <v>13</v>
      </c>
      <c r="F93" s="418">
        <v>18</v>
      </c>
      <c r="G93" s="454">
        <f t="shared" si="8"/>
        <v>102</v>
      </c>
      <c r="H93" s="420">
        <v>0.89470000000000005</v>
      </c>
      <c r="I93" s="421">
        <f>Tabela317[[#This Row],[TOTAL ALUNOS ABAIXO DO BASICO]]/Tabela317[[#This Row],[TOTAL DE ALUNOS]]*100</f>
        <v>44.117647058823529</v>
      </c>
      <c r="J93" s="421">
        <f>Tabela317[[#This Row],[Abaixo do Básico]]*1</f>
        <v>44.117647058823529</v>
      </c>
      <c r="K93" s="421">
        <f>Tabela317[[#This Row],[TOTAL ALUNOS DO BASICO]]/Tabela317[[#This Row],[TOTAL DE ALUNOS]]*100</f>
        <v>25.490196078431371</v>
      </c>
      <c r="L93" s="421">
        <f>Tabela317[[#This Row],[Básico]]*2</f>
        <v>50.980392156862742</v>
      </c>
      <c r="M93" s="421">
        <f>Tabela317[[#This Row],[TOTAL ALUNOS ADEQUADO]]/Tabela317[[#This Row],[TOTAL DE ALUNOS]]*100</f>
        <v>12.745098039215685</v>
      </c>
      <c r="N93" s="421">
        <f>Tabela317[[#This Row],[Adequado]]*3</f>
        <v>38.235294117647058</v>
      </c>
      <c r="O93" s="421">
        <f>Tabela317[[#This Row],[TOTAL DE ALUNOS AVANÇADO]]/Tabela317[[#This Row],[TOTAL DE ALUNOS]]*100</f>
        <v>17.647058823529413</v>
      </c>
      <c r="P93" s="421">
        <f>Tabela317[[#This Row],[Avançado]]*4</f>
        <v>70.588235294117652</v>
      </c>
      <c r="Q93" s="421">
        <f t="shared" si="9"/>
        <v>203.92156862745097</v>
      </c>
      <c r="R93" s="455">
        <f>Tabela317[[#This Row],[Participação]]*100</f>
        <v>89.47</v>
      </c>
      <c r="S93" s="422">
        <f t="shared" si="10"/>
        <v>203.92156862745097</v>
      </c>
      <c r="T93" s="422">
        <f>Tabela317[[#This Row],[META 2024]]*0.65</f>
        <v>144.55506</v>
      </c>
      <c r="U93" s="421">
        <v>222.39240000000001</v>
      </c>
      <c r="V93" s="422">
        <f t="shared" si="7"/>
        <v>0.76269960699390493</v>
      </c>
      <c r="W93" s="422">
        <f t="shared" si="11"/>
        <v>0.76269960699390493</v>
      </c>
    </row>
    <row r="94" spans="1:23">
      <c r="A94" s="456">
        <v>98</v>
      </c>
      <c r="B94" s="457" t="s">
        <v>110</v>
      </c>
      <c r="C94" s="418">
        <v>66</v>
      </c>
      <c r="D94" s="418">
        <v>65</v>
      </c>
      <c r="E94" s="418">
        <v>84</v>
      </c>
      <c r="F94" s="418">
        <v>67</v>
      </c>
      <c r="G94" s="454">
        <f t="shared" si="8"/>
        <v>282</v>
      </c>
      <c r="H94" s="420">
        <v>0.89239999999999997</v>
      </c>
      <c r="I94" s="421">
        <f>Tabela317[[#This Row],[TOTAL ALUNOS ABAIXO DO BASICO]]/Tabela317[[#This Row],[TOTAL DE ALUNOS]]*100</f>
        <v>23.404255319148938</v>
      </c>
      <c r="J94" s="421">
        <f>Tabela317[[#This Row],[Abaixo do Básico]]*1</f>
        <v>23.404255319148938</v>
      </c>
      <c r="K94" s="421">
        <f>Tabela317[[#This Row],[TOTAL ALUNOS DO BASICO]]/Tabela317[[#This Row],[TOTAL DE ALUNOS]]*100</f>
        <v>23.049645390070921</v>
      </c>
      <c r="L94" s="421">
        <f>Tabela317[[#This Row],[Básico]]*2</f>
        <v>46.099290780141843</v>
      </c>
      <c r="M94" s="421">
        <f>Tabela317[[#This Row],[TOTAL ALUNOS ADEQUADO]]/Tabela317[[#This Row],[TOTAL DE ALUNOS]]*100</f>
        <v>29.787234042553191</v>
      </c>
      <c r="N94" s="421">
        <f>Tabela317[[#This Row],[Adequado]]*3</f>
        <v>89.361702127659569</v>
      </c>
      <c r="O94" s="421">
        <f>Tabela317[[#This Row],[TOTAL DE ALUNOS AVANÇADO]]/Tabela317[[#This Row],[TOTAL DE ALUNOS]]*100</f>
        <v>23.75886524822695</v>
      </c>
      <c r="P94" s="421">
        <f>Tabela317[[#This Row],[Avançado]]*4</f>
        <v>95.035460992907801</v>
      </c>
      <c r="Q94" s="421">
        <f t="shared" si="9"/>
        <v>253.90070921985819</v>
      </c>
      <c r="R94" s="455">
        <f>Tabela317[[#This Row],[Participação]]*100</f>
        <v>89.24</v>
      </c>
      <c r="S94" s="422">
        <f t="shared" si="10"/>
        <v>253.90070921985819</v>
      </c>
      <c r="T94" s="422">
        <f>Tabela317[[#This Row],[META 2024]]*0.65</f>
        <v>166.20077499999999</v>
      </c>
      <c r="U94" s="421">
        <v>255.6935</v>
      </c>
      <c r="V94" s="422">
        <f t="shared" si="7"/>
        <v>0.97996718973367036</v>
      </c>
      <c r="W94" s="422">
        <f t="shared" si="11"/>
        <v>0.97996718973367036</v>
      </c>
    </row>
    <row r="95" spans="1:23">
      <c r="A95" s="456">
        <v>99</v>
      </c>
      <c r="B95" s="457" t="s">
        <v>204</v>
      </c>
      <c r="C95" s="418">
        <v>46</v>
      </c>
      <c r="D95" s="418">
        <v>41</v>
      </c>
      <c r="E95" s="418">
        <v>20</v>
      </c>
      <c r="F95" s="418">
        <v>15</v>
      </c>
      <c r="G95" s="454">
        <f t="shared" si="8"/>
        <v>122</v>
      </c>
      <c r="H95" s="420">
        <v>0.90369999999999995</v>
      </c>
      <c r="I95" s="421">
        <f>Tabela317[[#This Row],[TOTAL ALUNOS ABAIXO DO BASICO]]/Tabela317[[#This Row],[TOTAL DE ALUNOS]]*100</f>
        <v>37.704918032786885</v>
      </c>
      <c r="J95" s="421">
        <f>Tabela317[[#This Row],[Abaixo do Básico]]*1</f>
        <v>37.704918032786885</v>
      </c>
      <c r="K95" s="421">
        <f>Tabela317[[#This Row],[TOTAL ALUNOS DO BASICO]]/Tabela317[[#This Row],[TOTAL DE ALUNOS]]*100</f>
        <v>33.606557377049178</v>
      </c>
      <c r="L95" s="421">
        <f>Tabela317[[#This Row],[Básico]]*2</f>
        <v>67.213114754098356</v>
      </c>
      <c r="M95" s="421">
        <f>Tabela317[[#This Row],[TOTAL ALUNOS ADEQUADO]]/Tabela317[[#This Row],[TOTAL DE ALUNOS]]*100</f>
        <v>16.393442622950818</v>
      </c>
      <c r="N95" s="421">
        <f>Tabela317[[#This Row],[Adequado]]*3</f>
        <v>49.180327868852459</v>
      </c>
      <c r="O95" s="421">
        <f>Tabela317[[#This Row],[TOTAL DE ALUNOS AVANÇADO]]/Tabela317[[#This Row],[TOTAL DE ALUNOS]]*100</f>
        <v>12.295081967213115</v>
      </c>
      <c r="P95" s="421">
        <f>Tabela317[[#This Row],[Avançado]]*4</f>
        <v>49.180327868852459</v>
      </c>
      <c r="Q95" s="421">
        <f t="shared" si="9"/>
        <v>203.27868852459017</v>
      </c>
      <c r="R95" s="455">
        <f>Tabela317[[#This Row],[Participação]]*100</f>
        <v>90.36999999999999</v>
      </c>
      <c r="S95" s="422">
        <f t="shared" si="10"/>
        <v>203.27868852459017</v>
      </c>
      <c r="T95" s="422">
        <f>Tabela317[[#This Row],[META 2024]]*0.65</f>
        <v>130.63140999999999</v>
      </c>
      <c r="U95" s="421">
        <v>200.97139999999999</v>
      </c>
      <c r="V95" s="422">
        <f t="shared" si="7"/>
        <v>1.032801945587285</v>
      </c>
      <c r="W95" s="422">
        <f t="shared" si="11"/>
        <v>1</v>
      </c>
    </row>
    <row r="96" spans="1:23">
      <c r="A96" s="456">
        <v>100</v>
      </c>
      <c r="B96" s="457" t="s">
        <v>183</v>
      </c>
      <c r="C96" s="418">
        <v>27</v>
      </c>
      <c r="D96" s="418">
        <v>37</v>
      </c>
      <c r="E96" s="418">
        <v>52</v>
      </c>
      <c r="F96" s="418">
        <v>39</v>
      </c>
      <c r="G96" s="454">
        <f t="shared" si="8"/>
        <v>155</v>
      </c>
      <c r="H96" s="420">
        <v>0.98729999999999996</v>
      </c>
      <c r="I96" s="421">
        <f>Tabela317[[#This Row],[TOTAL ALUNOS ABAIXO DO BASICO]]/Tabela317[[#This Row],[TOTAL DE ALUNOS]]*100</f>
        <v>17.419354838709676</v>
      </c>
      <c r="J96" s="421">
        <f>Tabela317[[#This Row],[Abaixo do Básico]]*1</f>
        <v>17.419354838709676</v>
      </c>
      <c r="K96" s="421">
        <f>Tabela317[[#This Row],[TOTAL ALUNOS DO BASICO]]/Tabela317[[#This Row],[TOTAL DE ALUNOS]]*100</f>
        <v>23.870967741935484</v>
      </c>
      <c r="L96" s="421">
        <f>Tabela317[[#This Row],[Básico]]*2</f>
        <v>47.741935483870968</v>
      </c>
      <c r="M96" s="421">
        <f>Tabela317[[#This Row],[TOTAL ALUNOS ADEQUADO]]/Tabela317[[#This Row],[TOTAL DE ALUNOS]]*100</f>
        <v>33.548387096774199</v>
      </c>
      <c r="N96" s="421">
        <f>Tabela317[[#This Row],[Adequado]]*3</f>
        <v>100.64516129032259</v>
      </c>
      <c r="O96" s="421">
        <f>Tabela317[[#This Row],[TOTAL DE ALUNOS AVANÇADO]]/Tabela317[[#This Row],[TOTAL DE ALUNOS]]*100</f>
        <v>25.161290322580644</v>
      </c>
      <c r="P96" s="421">
        <f>Tabela317[[#This Row],[Avançado]]*4</f>
        <v>100.64516129032258</v>
      </c>
      <c r="Q96" s="421">
        <f t="shared" si="9"/>
        <v>266.45161290322579</v>
      </c>
      <c r="R96" s="455">
        <f>Tabela317[[#This Row],[Participação]]*100</f>
        <v>98.72999999999999</v>
      </c>
      <c r="S96" s="422">
        <f t="shared" si="10"/>
        <v>266.45161290322579</v>
      </c>
      <c r="T96" s="422">
        <f>Tabela317[[#This Row],[META 2024]]*0.65</f>
        <v>178.21836500000001</v>
      </c>
      <c r="U96" s="421">
        <v>274.18209999999999</v>
      </c>
      <c r="V96" s="422">
        <f t="shared" si="7"/>
        <v>0.91944366174603143</v>
      </c>
      <c r="W96" s="422">
        <f t="shared" si="11"/>
        <v>0.91944366174603143</v>
      </c>
    </row>
    <row r="97" spans="1:23">
      <c r="A97" s="456">
        <v>101</v>
      </c>
      <c r="B97" s="457" t="s">
        <v>137</v>
      </c>
      <c r="C97" s="418">
        <v>76</v>
      </c>
      <c r="D97" s="418">
        <v>70</v>
      </c>
      <c r="E97" s="418">
        <v>66</v>
      </c>
      <c r="F97" s="418">
        <v>46</v>
      </c>
      <c r="G97" s="454">
        <f t="shared" si="8"/>
        <v>258</v>
      </c>
      <c r="H97" s="420">
        <v>0.9556</v>
      </c>
      <c r="I97" s="421">
        <f>Tabela317[[#This Row],[TOTAL ALUNOS ABAIXO DO BASICO]]/Tabela317[[#This Row],[TOTAL DE ALUNOS]]*100</f>
        <v>29.457364341085274</v>
      </c>
      <c r="J97" s="421">
        <f>Tabela317[[#This Row],[Abaixo do Básico]]*1</f>
        <v>29.457364341085274</v>
      </c>
      <c r="K97" s="421">
        <f>Tabela317[[#This Row],[TOTAL ALUNOS DO BASICO]]/Tabela317[[#This Row],[TOTAL DE ALUNOS]]*100</f>
        <v>27.131782945736433</v>
      </c>
      <c r="L97" s="421">
        <f>Tabela317[[#This Row],[Básico]]*2</f>
        <v>54.263565891472865</v>
      </c>
      <c r="M97" s="421">
        <f>Tabela317[[#This Row],[TOTAL ALUNOS ADEQUADO]]/Tabela317[[#This Row],[TOTAL DE ALUNOS]]*100</f>
        <v>25.581395348837212</v>
      </c>
      <c r="N97" s="421">
        <f>Tabela317[[#This Row],[Adequado]]*3</f>
        <v>76.744186046511629</v>
      </c>
      <c r="O97" s="421">
        <f>Tabela317[[#This Row],[TOTAL DE ALUNOS AVANÇADO]]/Tabela317[[#This Row],[TOTAL DE ALUNOS]]*100</f>
        <v>17.829457364341085</v>
      </c>
      <c r="P97" s="421">
        <f>Tabela317[[#This Row],[Avançado]]*4</f>
        <v>71.31782945736434</v>
      </c>
      <c r="Q97" s="421">
        <f t="shared" si="9"/>
        <v>231.7829457364341</v>
      </c>
      <c r="R97" s="455">
        <f>Tabela317[[#This Row],[Participação]]*100</f>
        <v>95.56</v>
      </c>
      <c r="S97" s="422">
        <f t="shared" si="10"/>
        <v>231.7829457364341</v>
      </c>
      <c r="T97" s="422">
        <f>Tabela317[[#This Row],[META 2024]]*0.65</f>
        <v>172.43967000000004</v>
      </c>
      <c r="U97" s="421">
        <v>265.29180000000002</v>
      </c>
      <c r="V97" s="422">
        <f t="shared" si="7"/>
        <v>0.63911593343560424</v>
      </c>
      <c r="W97" s="422">
        <f t="shared" si="11"/>
        <v>0.63911593343560424</v>
      </c>
    </row>
    <row r="98" spans="1:23">
      <c r="A98" s="456">
        <v>102</v>
      </c>
      <c r="B98" s="457" t="s">
        <v>219</v>
      </c>
      <c r="C98" s="418">
        <v>31</v>
      </c>
      <c r="D98" s="418">
        <v>25</v>
      </c>
      <c r="E98" s="418">
        <v>7</v>
      </c>
      <c r="F98" s="418">
        <v>5</v>
      </c>
      <c r="G98" s="454">
        <f t="shared" si="8"/>
        <v>68</v>
      </c>
      <c r="H98" s="420">
        <v>0.8831</v>
      </c>
      <c r="I98" s="421">
        <f>Tabela317[[#This Row],[TOTAL ALUNOS ABAIXO DO BASICO]]/Tabela317[[#This Row],[TOTAL DE ALUNOS]]*100</f>
        <v>45.588235294117645</v>
      </c>
      <c r="J98" s="421">
        <f>Tabela317[[#This Row],[Abaixo do Básico]]*1</f>
        <v>45.588235294117645</v>
      </c>
      <c r="K98" s="421">
        <f>Tabela317[[#This Row],[TOTAL ALUNOS DO BASICO]]/Tabela317[[#This Row],[TOTAL DE ALUNOS]]*100</f>
        <v>36.764705882352942</v>
      </c>
      <c r="L98" s="421">
        <f>Tabela317[[#This Row],[Básico]]*2</f>
        <v>73.529411764705884</v>
      </c>
      <c r="M98" s="421">
        <f>Tabela317[[#This Row],[TOTAL ALUNOS ADEQUADO]]/Tabela317[[#This Row],[TOTAL DE ALUNOS]]*100</f>
        <v>10.294117647058822</v>
      </c>
      <c r="N98" s="421">
        <f>Tabela317[[#This Row],[Adequado]]*3</f>
        <v>30.882352941176467</v>
      </c>
      <c r="O98" s="421">
        <f>Tabela317[[#This Row],[TOTAL DE ALUNOS AVANÇADO]]/Tabela317[[#This Row],[TOTAL DE ALUNOS]]*100</f>
        <v>7.3529411764705888</v>
      </c>
      <c r="P98" s="421">
        <f>Tabela317[[#This Row],[Avançado]]*4</f>
        <v>29.411764705882355</v>
      </c>
      <c r="Q98" s="421">
        <f t="shared" si="9"/>
        <v>179.41176470588235</v>
      </c>
      <c r="R98" s="455">
        <f>Tabela317[[#This Row],[Participação]]*100</f>
        <v>88.31</v>
      </c>
      <c r="S98" s="422">
        <f t="shared" si="10"/>
        <v>179.41176470588235</v>
      </c>
      <c r="T98" s="422">
        <f>Tabela317[[#This Row],[META 2024]]*0.65</f>
        <v>123.96137</v>
      </c>
      <c r="U98" s="421">
        <v>190.7098</v>
      </c>
      <c r="V98" s="422">
        <f t="shared" si="7"/>
        <v>0.8307370631171751</v>
      </c>
      <c r="W98" s="422">
        <f t="shared" si="11"/>
        <v>0.8307370631171751</v>
      </c>
    </row>
    <row r="99" spans="1:23">
      <c r="A99" s="456">
        <v>103</v>
      </c>
      <c r="B99" s="457" t="s">
        <v>195</v>
      </c>
      <c r="C99" s="418">
        <v>89</v>
      </c>
      <c r="D99" s="418">
        <v>56</v>
      </c>
      <c r="E99" s="418">
        <v>28</v>
      </c>
      <c r="F99" s="418">
        <v>20</v>
      </c>
      <c r="G99" s="454">
        <f t="shared" si="8"/>
        <v>193</v>
      </c>
      <c r="H99" s="420">
        <v>0.96499999999999997</v>
      </c>
      <c r="I99" s="421">
        <f>Tabela317[[#This Row],[TOTAL ALUNOS ABAIXO DO BASICO]]/Tabela317[[#This Row],[TOTAL DE ALUNOS]]*100</f>
        <v>46.1139896373057</v>
      </c>
      <c r="J99" s="421">
        <f>Tabela317[[#This Row],[Abaixo do Básico]]*1</f>
        <v>46.1139896373057</v>
      </c>
      <c r="K99" s="421">
        <f>Tabela317[[#This Row],[TOTAL ALUNOS DO BASICO]]/Tabela317[[#This Row],[TOTAL DE ALUNOS]]*100</f>
        <v>29.015544041450774</v>
      </c>
      <c r="L99" s="421">
        <f>Tabela317[[#This Row],[Básico]]*2</f>
        <v>58.031088082901547</v>
      </c>
      <c r="M99" s="421">
        <f>Tabela317[[#This Row],[TOTAL ALUNOS ADEQUADO]]/Tabela317[[#This Row],[TOTAL DE ALUNOS]]*100</f>
        <v>14.507772020725387</v>
      </c>
      <c r="N99" s="421">
        <f>Tabela317[[#This Row],[Adequado]]*3</f>
        <v>43.523316062176164</v>
      </c>
      <c r="O99" s="421">
        <f>Tabela317[[#This Row],[TOTAL DE ALUNOS AVANÇADO]]/Tabela317[[#This Row],[TOTAL DE ALUNOS]]*100</f>
        <v>10.362694300518134</v>
      </c>
      <c r="P99" s="421">
        <f>Tabela317[[#This Row],[Avançado]]*4</f>
        <v>41.450777202072537</v>
      </c>
      <c r="Q99" s="421">
        <f t="shared" si="9"/>
        <v>189.11917098445596</v>
      </c>
      <c r="R99" s="455">
        <f>Tabela317[[#This Row],[Participação]]*100</f>
        <v>96.5</v>
      </c>
      <c r="S99" s="422">
        <f t="shared" si="10"/>
        <v>189.11917098445596</v>
      </c>
      <c r="T99" s="422">
        <f>Tabela317[[#This Row],[META 2024]]*0.65</f>
        <v>130.59403500000002</v>
      </c>
      <c r="U99" s="421">
        <v>200.91390000000001</v>
      </c>
      <c r="V99" s="422">
        <f t="shared" si="7"/>
        <v>0.83227031201575752</v>
      </c>
      <c r="W99" s="422">
        <f t="shared" si="11"/>
        <v>0.83227031201575752</v>
      </c>
    </row>
    <row r="100" spans="1:23">
      <c r="A100" s="456">
        <v>104</v>
      </c>
      <c r="B100" s="457" t="s">
        <v>136</v>
      </c>
      <c r="C100" s="418">
        <v>31</v>
      </c>
      <c r="D100" s="418">
        <v>44</v>
      </c>
      <c r="E100" s="418">
        <v>47</v>
      </c>
      <c r="F100" s="418">
        <v>43</v>
      </c>
      <c r="G100" s="454">
        <f t="shared" si="8"/>
        <v>165</v>
      </c>
      <c r="H100" s="420">
        <v>0.91669999999999996</v>
      </c>
      <c r="I100" s="421">
        <f>Tabela317[[#This Row],[TOTAL ALUNOS ABAIXO DO BASICO]]/Tabela317[[#This Row],[TOTAL DE ALUNOS]]*100</f>
        <v>18.787878787878785</v>
      </c>
      <c r="J100" s="421">
        <f>Tabela317[[#This Row],[Abaixo do Básico]]*1</f>
        <v>18.787878787878785</v>
      </c>
      <c r="K100" s="421">
        <f>Tabela317[[#This Row],[TOTAL ALUNOS DO BASICO]]/Tabela317[[#This Row],[TOTAL DE ALUNOS]]*100</f>
        <v>26.666666666666668</v>
      </c>
      <c r="L100" s="421">
        <f>Tabela317[[#This Row],[Básico]]*2</f>
        <v>53.333333333333336</v>
      </c>
      <c r="M100" s="421">
        <f>Tabela317[[#This Row],[TOTAL ALUNOS ADEQUADO]]/Tabela317[[#This Row],[TOTAL DE ALUNOS]]*100</f>
        <v>28.484848484848484</v>
      </c>
      <c r="N100" s="421">
        <f>Tabela317[[#This Row],[Adequado]]*3</f>
        <v>85.454545454545453</v>
      </c>
      <c r="O100" s="421">
        <f>Tabela317[[#This Row],[TOTAL DE ALUNOS AVANÇADO]]/Tabela317[[#This Row],[TOTAL DE ALUNOS]]*100</f>
        <v>26.060606060606062</v>
      </c>
      <c r="P100" s="421">
        <f>Tabela317[[#This Row],[Avançado]]*4</f>
        <v>104.24242424242425</v>
      </c>
      <c r="Q100" s="421">
        <f t="shared" si="9"/>
        <v>261.81818181818181</v>
      </c>
      <c r="R100" s="455">
        <f>Tabela317[[#This Row],[Participação]]*100</f>
        <v>91.67</v>
      </c>
      <c r="S100" s="422">
        <f t="shared" si="10"/>
        <v>261.81818181818181</v>
      </c>
      <c r="T100" s="422">
        <f>Tabela317[[#This Row],[META 2024]]*0.65</f>
        <v>172.50798500000002</v>
      </c>
      <c r="U100" s="421">
        <v>265.39690000000002</v>
      </c>
      <c r="V100" s="422">
        <f t="shared" si="7"/>
        <v>0.96147314045149301</v>
      </c>
      <c r="W100" s="422">
        <f t="shared" si="11"/>
        <v>0.96147314045149301</v>
      </c>
    </row>
    <row r="101" spans="1:23">
      <c r="A101" s="456">
        <v>107</v>
      </c>
      <c r="B101" s="457" t="s">
        <v>156</v>
      </c>
      <c r="C101" s="418">
        <v>34</v>
      </c>
      <c r="D101" s="418">
        <v>29</v>
      </c>
      <c r="E101" s="418">
        <v>40</v>
      </c>
      <c r="F101" s="418">
        <v>23</v>
      </c>
      <c r="G101" s="454">
        <f t="shared" si="8"/>
        <v>126</v>
      </c>
      <c r="H101" s="420">
        <v>0.91300000000000003</v>
      </c>
      <c r="I101" s="421">
        <f>Tabela317[[#This Row],[TOTAL ALUNOS ABAIXO DO BASICO]]/Tabela317[[#This Row],[TOTAL DE ALUNOS]]*100</f>
        <v>26.984126984126984</v>
      </c>
      <c r="J101" s="421">
        <f>Tabela317[[#This Row],[Abaixo do Básico]]*1</f>
        <v>26.984126984126984</v>
      </c>
      <c r="K101" s="421">
        <f>Tabela317[[#This Row],[TOTAL ALUNOS DO BASICO]]/Tabela317[[#This Row],[TOTAL DE ALUNOS]]*100</f>
        <v>23.015873015873016</v>
      </c>
      <c r="L101" s="421">
        <f>Tabela317[[#This Row],[Básico]]*2</f>
        <v>46.031746031746032</v>
      </c>
      <c r="M101" s="421">
        <f>Tabela317[[#This Row],[TOTAL ALUNOS ADEQUADO]]/Tabela317[[#This Row],[TOTAL DE ALUNOS]]*100</f>
        <v>31.746031746031743</v>
      </c>
      <c r="N101" s="421">
        <f>Tabela317[[#This Row],[Adequado]]*3</f>
        <v>95.238095238095227</v>
      </c>
      <c r="O101" s="421">
        <f>Tabela317[[#This Row],[TOTAL DE ALUNOS AVANÇADO]]/Tabela317[[#This Row],[TOTAL DE ALUNOS]]*100</f>
        <v>18.253968253968253</v>
      </c>
      <c r="P101" s="421">
        <f>Tabela317[[#This Row],[Avançado]]*4</f>
        <v>73.015873015873012</v>
      </c>
      <c r="Q101" s="421">
        <f t="shared" si="9"/>
        <v>241.26984126984127</v>
      </c>
      <c r="R101" s="455">
        <f>Tabela317[[#This Row],[Participação]]*100</f>
        <v>91.3</v>
      </c>
      <c r="S101" s="422">
        <f t="shared" si="10"/>
        <v>241.26984126984127</v>
      </c>
      <c r="T101" s="422">
        <f>Tabela317[[#This Row],[META 2024]]*0.65</f>
        <v>161.68210500000001</v>
      </c>
      <c r="U101" s="421">
        <v>248.74170000000001</v>
      </c>
      <c r="V101" s="422">
        <f t="shared" si="7"/>
        <v>0.91417535620101675</v>
      </c>
      <c r="W101" s="422">
        <f t="shared" si="11"/>
        <v>0.91417535620101675</v>
      </c>
    </row>
    <row r="102" spans="1:23">
      <c r="A102" s="456">
        <v>108</v>
      </c>
      <c r="B102" s="457" t="s">
        <v>71</v>
      </c>
      <c r="C102" s="418">
        <v>80</v>
      </c>
      <c r="D102" s="418">
        <v>59</v>
      </c>
      <c r="E102" s="418">
        <v>32</v>
      </c>
      <c r="F102" s="418">
        <v>19</v>
      </c>
      <c r="G102" s="454">
        <f t="shared" si="8"/>
        <v>190</v>
      </c>
      <c r="H102" s="420">
        <v>0.84819999999999995</v>
      </c>
      <c r="I102" s="421">
        <f>Tabela317[[#This Row],[TOTAL ALUNOS ABAIXO DO BASICO]]/Tabela317[[#This Row],[TOTAL DE ALUNOS]]*100</f>
        <v>42.105263157894733</v>
      </c>
      <c r="J102" s="421">
        <f>Tabela317[[#This Row],[Abaixo do Básico]]*1</f>
        <v>42.105263157894733</v>
      </c>
      <c r="K102" s="421">
        <f>Tabela317[[#This Row],[TOTAL ALUNOS DO BASICO]]/Tabela317[[#This Row],[TOTAL DE ALUNOS]]*100</f>
        <v>31.05263157894737</v>
      </c>
      <c r="L102" s="421">
        <f>Tabela317[[#This Row],[Básico]]*2</f>
        <v>62.10526315789474</v>
      </c>
      <c r="M102" s="421">
        <f>Tabela317[[#This Row],[TOTAL ALUNOS ADEQUADO]]/Tabela317[[#This Row],[TOTAL DE ALUNOS]]*100</f>
        <v>16.842105263157894</v>
      </c>
      <c r="N102" s="421">
        <f>Tabela317[[#This Row],[Adequado]]*3</f>
        <v>50.526315789473685</v>
      </c>
      <c r="O102" s="421">
        <f>Tabela317[[#This Row],[TOTAL DE ALUNOS AVANÇADO]]/Tabela317[[#This Row],[TOTAL DE ALUNOS]]*100</f>
        <v>10</v>
      </c>
      <c r="P102" s="421">
        <f>Tabela317[[#This Row],[Avançado]]*4</f>
        <v>40</v>
      </c>
      <c r="Q102" s="421">
        <f t="shared" si="9"/>
        <v>194.73684210526318</v>
      </c>
      <c r="R102" s="455">
        <f>Tabela317[[#This Row],[Participação]]*100</f>
        <v>84.82</v>
      </c>
      <c r="S102" s="422">
        <f t="shared" si="10"/>
        <v>194.73684210526318</v>
      </c>
      <c r="T102" s="422">
        <f>Tabela317[[#This Row],[META 2024]]*0.65</f>
        <v>130.22223500000001</v>
      </c>
      <c r="U102" s="421">
        <v>200.34190000000001</v>
      </c>
      <c r="V102" s="422">
        <f t="shared" si="7"/>
        <v>0.92006439427888265</v>
      </c>
      <c r="W102" s="422">
        <f t="shared" si="11"/>
        <v>0.92006439427888265</v>
      </c>
    </row>
    <row r="103" spans="1:23">
      <c r="A103" s="456">
        <v>110</v>
      </c>
      <c r="B103" s="457" t="s">
        <v>129</v>
      </c>
      <c r="C103" s="418">
        <v>27</v>
      </c>
      <c r="D103" s="418">
        <v>39</v>
      </c>
      <c r="E103" s="418">
        <v>39</v>
      </c>
      <c r="F103" s="418">
        <v>36</v>
      </c>
      <c r="G103" s="454">
        <f t="shared" si="8"/>
        <v>141</v>
      </c>
      <c r="H103" s="420">
        <v>0.92759999999999998</v>
      </c>
      <c r="I103" s="421">
        <f>Tabela317[[#This Row],[TOTAL ALUNOS ABAIXO DO BASICO]]/Tabela317[[#This Row],[TOTAL DE ALUNOS]]*100</f>
        <v>19.148936170212767</v>
      </c>
      <c r="J103" s="421">
        <f>Tabela317[[#This Row],[Abaixo do Básico]]*1</f>
        <v>19.148936170212767</v>
      </c>
      <c r="K103" s="421">
        <f>Tabela317[[#This Row],[TOTAL ALUNOS DO BASICO]]/Tabela317[[#This Row],[TOTAL DE ALUNOS]]*100</f>
        <v>27.659574468085108</v>
      </c>
      <c r="L103" s="421">
        <f>Tabela317[[#This Row],[Básico]]*2</f>
        <v>55.319148936170215</v>
      </c>
      <c r="M103" s="421">
        <f>Tabela317[[#This Row],[TOTAL ALUNOS ADEQUADO]]/Tabela317[[#This Row],[TOTAL DE ALUNOS]]*100</f>
        <v>27.659574468085108</v>
      </c>
      <c r="N103" s="421">
        <f>Tabela317[[#This Row],[Adequado]]*3</f>
        <v>82.978723404255319</v>
      </c>
      <c r="O103" s="421">
        <f>Tabela317[[#This Row],[TOTAL DE ALUNOS AVANÇADO]]/Tabela317[[#This Row],[TOTAL DE ALUNOS]]*100</f>
        <v>25.531914893617021</v>
      </c>
      <c r="P103" s="421">
        <f>Tabela317[[#This Row],[Avançado]]*4</f>
        <v>102.12765957446808</v>
      </c>
      <c r="Q103" s="421">
        <f t="shared" si="9"/>
        <v>259.57446808510639</v>
      </c>
      <c r="R103" s="455">
        <f>Tabela317[[#This Row],[Participação]]*100</f>
        <v>92.759999999999991</v>
      </c>
      <c r="S103" s="422">
        <f t="shared" si="10"/>
        <v>259.57446808510639</v>
      </c>
      <c r="T103" s="422">
        <f>Tabela317[[#This Row],[META 2024]]*0.65</f>
        <v>176.46187</v>
      </c>
      <c r="U103" s="421">
        <v>271.47980000000001</v>
      </c>
      <c r="V103" s="422">
        <f t="shared" si="7"/>
        <v>0.87470436458788758</v>
      </c>
      <c r="W103" s="422">
        <f t="shared" si="11"/>
        <v>0.87470436458788758</v>
      </c>
    </row>
    <row r="104" spans="1:23">
      <c r="A104" s="456">
        <v>115</v>
      </c>
      <c r="B104" s="457" t="s">
        <v>23</v>
      </c>
      <c r="C104" s="418">
        <v>41</v>
      </c>
      <c r="D104" s="418">
        <v>36</v>
      </c>
      <c r="E104" s="418">
        <v>68</v>
      </c>
      <c r="F104" s="418">
        <v>39</v>
      </c>
      <c r="G104" s="454">
        <f t="shared" si="8"/>
        <v>184</v>
      </c>
      <c r="H104" s="420">
        <v>0.95340000000000003</v>
      </c>
      <c r="I104" s="421">
        <f>Tabela317[[#This Row],[TOTAL ALUNOS ABAIXO DO BASICO]]/Tabela317[[#This Row],[TOTAL DE ALUNOS]]*100</f>
        <v>22.282608695652172</v>
      </c>
      <c r="J104" s="421">
        <f>Tabela317[[#This Row],[Abaixo do Básico]]*1</f>
        <v>22.282608695652172</v>
      </c>
      <c r="K104" s="421">
        <f>Tabela317[[#This Row],[TOTAL ALUNOS DO BASICO]]/Tabela317[[#This Row],[TOTAL DE ALUNOS]]*100</f>
        <v>19.565217391304348</v>
      </c>
      <c r="L104" s="421">
        <f>Tabela317[[#This Row],[Básico]]*2</f>
        <v>39.130434782608695</v>
      </c>
      <c r="M104" s="421">
        <f>Tabela317[[#This Row],[TOTAL ALUNOS ADEQUADO]]/Tabela317[[#This Row],[TOTAL DE ALUNOS]]*100</f>
        <v>36.95652173913043</v>
      </c>
      <c r="N104" s="421">
        <f>Tabela317[[#This Row],[Adequado]]*3</f>
        <v>110.86956521739128</v>
      </c>
      <c r="O104" s="421">
        <f>Tabela317[[#This Row],[TOTAL DE ALUNOS AVANÇADO]]/Tabela317[[#This Row],[TOTAL DE ALUNOS]]*100</f>
        <v>21.195652173913043</v>
      </c>
      <c r="P104" s="421">
        <f>Tabela317[[#This Row],[Avançado]]*4</f>
        <v>84.782608695652172</v>
      </c>
      <c r="Q104" s="421">
        <f t="shared" si="9"/>
        <v>257.06521739130432</v>
      </c>
      <c r="R104" s="455">
        <f>Tabela317[[#This Row],[Participação]]*100</f>
        <v>95.34</v>
      </c>
      <c r="S104" s="422">
        <f t="shared" si="10"/>
        <v>257.06521739130432</v>
      </c>
      <c r="T104" s="422">
        <f>Tabela317[[#This Row],[META 2024]]*0.65</f>
        <v>184.95568</v>
      </c>
      <c r="U104" s="421">
        <v>284.54719999999998</v>
      </c>
      <c r="V104" s="422">
        <f t="shared" si="7"/>
        <v>0.72405298554841147</v>
      </c>
      <c r="W104" s="422">
        <f t="shared" si="11"/>
        <v>0.72405298554841147</v>
      </c>
    </row>
    <row r="105" spans="1:23">
      <c r="A105" s="456">
        <v>116</v>
      </c>
      <c r="B105" s="457" t="s">
        <v>121</v>
      </c>
      <c r="C105" s="418">
        <v>5</v>
      </c>
      <c r="D105" s="418">
        <v>11</v>
      </c>
      <c r="E105" s="418">
        <v>10</v>
      </c>
      <c r="F105" s="418">
        <v>8</v>
      </c>
      <c r="G105" s="454">
        <f t="shared" si="8"/>
        <v>34</v>
      </c>
      <c r="H105" s="420">
        <v>1</v>
      </c>
      <c r="I105" s="421">
        <f>Tabela317[[#This Row],[TOTAL ALUNOS ABAIXO DO BASICO]]/Tabela317[[#This Row],[TOTAL DE ALUNOS]]*100</f>
        <v>14.705882352941178</v>
      </c>
      <c r="J105" s="421">
        <f>Tabela317[[#This Row],[Abaixo do Básico]]*1</f>
        <v>14.705882352941178</v>
      </c>
      <c r="K105" s="421">
        <f>Tabela317[[#This Row],[TOTAL ALUNOS DO BASICO]]/Tabela317[[#This Row],[TOTAL DE ALUNOS]]*100</f>
        <v>32.352941176470587</v>
      </c>
      <c r="L105" s="421">
        <f>Tabela317[[#This Row],[Básico]]*2</f>
        <v>64.705882352941174</v>
      </c>
      <c r="M105" s="421">
        <f>Tabela317[[#This Row],[TOTAL ALUNOS ADEQUADO]]/Tabela317[[#This Row],[TOTAL DE ALUNOS]]*100</f>
        <v>29.411764705882355</v>
      </c>
      <c r="N105" s="421">
        <f>Tabela317[[#This Row],[Adequado]]*3</f>
        <v>88.235294117647072</v>
      </c>
      <c r="O105" s="421">
        <f>Tabela317[[#This Row],[TOTAL DE ALUNOS AVANÇADO]]/Tabela317[[#This Row],[TOTAL DE ALUNOS]]*100</f>
        <v>23.52941176470588</v>
      </c>
      <c r="P105" s="421">
        <f>Tabela317[[#This Row],[Avançado]]*4</f>
        <v>94.117647058823522</v>
      </c>
      <c r="Q105" s="421">
        <f t="shared" si="9"/>
        <v>261.76470588235293</v>
      </c>
      <c r="R105" s="455">
        <f>Tabela317[[#This Row],[Participação]]*100</f>
        <v>100</v>
      </c>
      <c r="S105" s="422">
        <f t="shared" si="10"/>
        <v>261.76470588235293</v>
      </c>
      <c r="T105" s="422">
        <f>Tabela317[[#This Row],[META 2024]]*0.65</f>
        <v>161.181995</v>
      </c>
      <c r="U105" s="421">
        <v>247.97229999999999</v>
      </c>
      <c r="V105" s="422">
        <f t="shared" si="7"/>
        <v>1.1589164352211108</v>
      </c>
      <c r="W105" s="422">
        <f t="shared" si="11"/>
        <v>1</v>
      </c>
    </row>
    <row r="106" spans="1:23">
      <c r="A106" s="456">
        <v>117</v>
      </c>
      <c r="B106" s="457" t="s">
        <v>53</v>
      </c>
      <c r="C106" s="418">
        <v>53</v>
      </c>
      <c r="D106" s="418">
        <v>53</v>
      </c>
      <c r="E106" s="418">
        <v>77</v>
      </c>
      <c r="F106" s="418">
        <v>39</v>
      </c>
      <c r="G106" s="454">
        <f t="shared" si="8"/>
        <v>222</v>
      </c>
      <c r="H106" s="420">
        <v>0.92889999999999995</v>
      </c>
      <c r="I106" s="421">
        <f>Tabela317[[#This Row],[TOTAL ALUNOS ABAIXO DO BASICO]]/Tabela317[[#This Row],[TOTAL DE ALUNOS]]*100</f>
        <v>23.873873873873876</v>
      </c>
      <c r="J106" s="421">
        <f>Tabela317[[#This Row],[Abaixo do Básico]]*1</f>
        <v>23.873873873873876</v>
      </c>
      <c r="K106" s="421">
        <f>Tabela317[[#This Row],[TOTAL ALUNOS DO BASICO]]/Tabela317[[#This Row],[TOTAL DE ALUNOS]]*100</f>
        <v>23.873873873873876</v>
      </c>
      <c r="L106" s="421">
        <f>Tabela317[[#This Row],[Básico]]*2</f>
        <v>47.747747747747752</v>
      </c>
      <c r="M106" s="421">
        <f>Tabela317[[#This Row],[TOTAL ALUNOS ADEQUADO]]/Tabela317[[#This Row],[TOTAL DE ALUNOS]]*100</f>
        <v>34.684684684684683</v>
      </c>
      <c r="N106" s="421">
        <f>Tabela317[[#This Row],[Adequado]]*3</f>
        <v>104.05405405405405</v>
      </c>
      <c r="O106" s="421">
        <f>Tabela317[[#This Row],[TOTAL DE ALUNOS AVANÇADO]]/Tabela317[[#This Row],[TOTAL DE ALUNOS]]*100</f>
        <v>17.567567567567568</v>
      </c>
      <c r="P106" s="421">
        <f>Tabela317[[#This Row],[Avançado]]*4</f>
        <v>70.270270270270274</v>
      </c>
      <c r="Q106" s="421">
        <f t="shared" si="9"/>
        <v>245.94594594594594</v>
      </c>
      <c r="R106" s="455">
        <f>Tabela317[[#This Row],[Participação]]*100</f>
        <v>92.89</v>
      </c>
      <c r="S106" s="422">
        <f t="shared" si="10"/>
        <v>245.94594594594594</v>
      </c>
      <c r="T106" s="422">
        <f>Tabela317[[#This Row],[META 2024]]*0.65</f>
        <v>169.47391500000001</v>
      </c>
      <c r="U106" s="421">
        <v>260.72910000000002</v>
      </c>
      <c r="V106" s="422">
        <f t="shared" si="7"/>
        <v>0.83800203731925937</v>
      </c>
      <c r="W106" s="422">
        <f t="shared" si="11"/>
        <v>0.83800203731925937</v>
      </c>
    </row>
    <row r="107" spans="1:23">
      <c r="A107" s="456">
        <v>118</v>
      </c>
      <c r="B107" s="457" t="s">
        <v>49</v>
      </c>
      <c r="C107" s="418">
        <v>24</v>
      </c>
      <c r="D107" s="418">
        <v>17</v>
      </c>
      <c r="E107" s="418">
        <v>20</v>
      </c>
      <c r="F107" s="418">
        <v>11</v>
      </c>
      <c r="G107" s="454">
        <f t="shared" si="8"/>
        <v>72</v>
      </c>
      <c r="H107" s="420">
        <v>0.98629999999999995</v>
      </c>
      <c r="I107" s="421">
        <f>Tabela317[[#This Row],[TOTAL ALUNOS ABAIXO DO BASICO]]/Tabela317[[#This Row],[TOTAL DE ALUNOS]]*100</f>
        <v>33.333333333333329</v>
      </c>
      <c r="J107" s="421">
        <f>Tabela317[[#This Row],[Abaixo do Básico]]*1</f>
        <v>33.333333333333329</v>
      </c>
      <c r="K107" s="421">
        <f>Tabela317[[#This Row],[TOTAL ALUNOS DO BASICO]]/Tabela317[[#This Row],[TOTAL DE ALUNOS]]*100</f>
        <v>23.611111111111111</v>
      </c>
      <c r="L107" s="421">
        <f>Tabela317[[#This Row],[Básico]]*2</f>
        <v>47.222222222222221</v>
      </c>
      <c r="M107" s="421">
        <f>Tabela317[[#This Row],[TOTAL ALUNOS ADEQUADO]]/Tabela317[[#This Row],[TOTAL DE ALUNOS]]*100</f>
        <v>27.777777777777779</v>
      </c>
      <c r="N107" s="421">
        <f>Tabela317[[#This Row],[Adequado]]*3</f>
        <v>83.333333333333343</v>
      </c>
      <c r="O107" s="421">
        <f>Tabela317[[#This Row],[TOTAL DE ALUNOS AVANÇADO]]/Tabela317[[#This Row],[TOTAL DE ALUNOS]]*100</f>
        <v>15.277777777777779</v>
      </c>
      <c r="P107" s="421">
        <f>Tabela317[[#This Row],[Avançado]]*4</f>
        <v>61.111111111111114</v>
      </c>
      <c r="Q107" s="421">
        <f t="shared" si="9"/>
        <v>225</v>
      </c>
      <c r="R107" s="455">
        <f>Tabela317[[#This Row],[Participação]]*100</f>
        <v>98.63</v>
      </c>
      <c r="S107" s="422">
        <f t="shared" si="10"/>
        <v>225</v>
      </c>
      <c r="T107" s="422">
        <f>Tabela317[[#This Row],[META 2024]]*0.65</f>
        <v>143.23855</v>
      </c>
      <c r="U107" s="421">
        <v>220.36699999999999</v>
      </c>
      <c r="V107" s="422">
        <f t="shared" si="7"/>
        <v>1.0600686257794629</v>
      </c>
      <c r="W107" s="422">
        <f t="shared" si="11"/>
        <v>1</v>
      </c>
    </row>
    <row r="108" spans="1:23">
      <c r="A108" s="456">
        <v>122</v>
      </c>
      <c r="B108" s="457" t="s">
        <v>85</v>
      </c>
      <c r="C108" s="418">
        <v>38</v>
      </c>
      <c r="D108" s="418">
        <v>54</v>
      </c>
      <c r="E108" s="418">
        <v>50</v>
      </c>
      <c r="F108" s="418">
        <v>51</v>
      </c>
      <c r="G108" s="454">
        <f t="shared" si="8"/>
        <v>193</v>
      </c>
      <c r="H108" s="420">
        <v>0.91900000000000004</v>
      </c>
      <c r="I108" s="421">
        <f>Tabela317[[#This Row],[TOTAL ALUNOS ABAIXO DO BASICO]]/Tabela317[[#This Row],[TOTAL DE ALUNOS]]*100</f>
        <v>19.689119170984455</v>
      </c>
      <c r="J108" s="421">
        <f>Tabela317[[#This Row],[Abaixo do Básico]]*1</f>
        <v>19.689119170984455</v>
      </c>
      <c r="K108" s="421">
        <f>Tabela317[[#This Row],[TOTAL ALUNOS DO BASICO]]/Tabela317[[#This Row],[TOTAL DE ALUNOS]]*100</f>
        <v>27.979274611398964</v>
      </c>
      <c r="L108" s="421">
        <f>Tabela317[[#This Row],[Básico]]*2</f>
        <v>55.958549222797927</v>
      </c>
      <c r="M108" s="421">
        <f>Tabela317[[#This Row],[TOTAL ALUNOS ADEQUADO]]/Tabela317[[#This Row],[TOTAL DE ALUNOS]]*100</f>
        <v>25.906735751295333</v>
      </c>
      <c r="N108" s="421">
        <f>Tabela317[[#This Row],[Adequado]]*3</f>
        <v>77.720207253886002</v>
      </c>
      <c r="O108" s="421">
        <f>Tabela317[[#This Row],[TOTAL DE ALUNOS AVANÇADO]]/Tabela317[[#This Row],[TOTAL DE ALUNOS]]*100</f>
        <v>26.424870466321241</v>
      </c>
      <c r="P108" s="421">
        <f>Tabela317[[#This Row],[Avançado]]*4</f>
        <v>105.69948186528497</v>
      </c>
      <c r="Q108" s="421">
        <f t="shared" si="9"/>
        <v>259.06735751295332</v>
      </c>
      <c r="R108" s="455">
        <f>Tabela317[[#This Row],[Participação]]*100</f>
        <v>91.9</v>
      </c>
      <c r="S108" s="422">
        <f t="shared" si="10"/>
        <v>259.06735751295332</v>
      </c>
      <c r="T108" s="422">
        <f>Tabela317[[#This Row],[META 2024]]*0.65</f>
        <v>157.88812000000001</v>
      </c>
      <c r="U108" s="421">
        <v>242.90479999999999</v>
      </c>
      <c r="V108" s="422">
        <f t="shared" si="7"/>
        <v>1.1901104290705462</v>
      </c>
      <c r="W108" s="422">
        <f t="shared" si="11"/>
        <v>1</v>
      </c>
    </row>
    <row r="109" spans="1:23">
      <c r="A109" s="456">
        <v>123</v>
      </c>
      <c r="B109" s="457" t="s">
        <v>5</v>
      </c>
      <c r="C109" s="418">
        <v>44</v>
      </c>
      <c r="D109" s="418">
        <v>35</v>
      </c>
      <c r="E109" s="418">
        <v>24</v>
      </c>
      <c r="F109" s="418">
        <v>13</v>
      </c>
      <c r="G109" s="454">
        <f t="shared" si="8"/>
        <v>116</v>
      </c>
      <c r="H109" s="420">
        <v>1</v>
      </c>
      <c r="I109" s="421">
        <f>Tabela317[[#This Row],[TOTAL ALUNOS ABAIXO DO BASICO]]/Tabela317[[#This Row],[TOTAL DE ALUNOS]]*100</f>
        <v>37.931034482758619</v>
      </c>
      <c r="J109" s="421">
        <f>Tabela317[[#This Row],[Abaixo do Básico]]*1</f>
        <v>37.931034482758619</v>
      </c>
      <c r="K109" s="421">
        <f>Tabela317[[#This Row],[TOTAL ALUNOS DO BASICO]]/Tabela317[[#This Row],[TOTAL DE ALUNOS]]*100</f>
        <v>30.172413793103448</v>
      </c>
      <c r="L109" s="421">
        <f>Tabela317[[#This Row],[Básico]]*2</f>
        <v>60.344827586206897</v>
      </c>
      <c r="M109" s="421">
        <f>Tabela317[[#This Row],[TOTAL ALUNOS ADEQUADO]]/Tabela317[[#This Row],[TOTAL DE ALUNOS]]*100</f>
        <v>20.689655172413794</v>
      </c>
      <c r="N109" s="421">
        <f>Tabela317[[#This Row],[Adequado]]*3</f>
        <v>62.068965517241381</v>
      </c>
      <c r="O109" s="421">
        <f>Tabela317[[#This Row],[TOTAL DE ALUNOS AVANÇADO]]/Tabela317[[#This Row],[TOTAL DE ALUNOS]]*100</f>
        <v>11.206896551724139</v>
      </c>
      <c r="P109" s="421">
        <f>Tabela317[[#This Row],[Avançado]]*4</f>
        <v>44.827586206896555</v>
      </c>
      <c r="Q109" s="421">
        <f t="shared" si="9"/>
        <v>205.17241379310349</v>
      </c>
      <c r="R109" s="455">
        <f>Tabela317[[#This Row],[Participação]]*100</f>
        <v>100</v>
      </c>
      <c r="S109" s="422">
        <f t="shared" si="10"/>
        <v>205.17241379310349</v>
      </c>
      <c r="T109" s="422">
        <f>Tabela317[[#This Row],[META 2024]]*0.65</f>
        <v>144.85978</v>
      </c>
      <c r="U109" s="421">
        <v>222.8612</v>
      </c>
      <c r="V109" s="422">
        <f t="shared" si="7"/>
        <v>0.77322481812643273</v>
      </c>
      <c r="W109" s="422">
        <f t="shared" si="11"/>
        <v>0.77322481812643273</v>
      </c>
    </row>
    <row r="110" spans="1:23">
      <c r="A110" s="456">
        <v>124</v>
      </c>
      <c r="B110" s="457" t="s">
        <v>77</v>
      </c>
      <c r="C110" s="418">
        <v>33</v>
      </c>
      <c r="D110" s="418">
        <v>35</v>
      </c>
      <c r="E110" s="418">
        <v>31</v>
      </c>
      <c r="F110" s="418">
        <v>28</v>
      </c>
      <c r="G110" s="454">
        <f t="shared" si="8"/>
        <v>127</v>
      </c>
      <c r="H110" s="420">
        <v>0.94779999999999998</v>
      </c>
      <c r="I110" s="421">
        <f>Tabela317[[#This Row],[TOTAL ALUNOS ABAIXO DO BASICO]]/Tabela317[[#This Row],[TOTAL DE ALUNOS]]*100</f>
        <v>25.984251968503933</v>
      </c>
      <c r="J110" s="421">
        <f>Tabela317[[#This Row],[Abaixo do Básico]]*1</f>
        <v>25.984251968503933</v>
      </c>
      <c r="K110" s="421">
        <f>Tabela317[[#This Row],[TOTAL ALUNOS DO BASICO]]/Tabela317[[#This Row],[TOTAL DE ALUNOS]]*100</f>
        <v>27.559055118110237</v>
      </c>
      <c r="L110" s="421">
        <f>Tabela317[[#This Row],[Básico]]*2</f>
        <v>55.118110236220474</v>
      </c>
      <c r="M110" s="421">
        <f>Tabela317[[#This Row],[TOTAL ALUNOS ADEQUADO]]/Tabela317[[#This Row],[TOTAL DE ALUNOS]]*100</f>
        <v>24.409448818897637</v>
      </c>
      <c r="N110" s="421">
        <f>Tabela317[[#This Row],[Adequado]]*3</f>
        <v>73.228346456692918</v>
      </c>
      <c r="O110" s="421">
        <f>Tabela317[[#This Row],[TOTAL DE ALUNOS AVANÇADO]]/Tabela317[[#This Row],[TOTAL DE ALUNOS]]*100</f>
        <v>22.047244094488189</v>
      </c>
      <c r="P110" s="421">
        <f>Tabela317[[#This Row],[Avançado]]*4</f>
        <v>88.188976377952756</v>
      </c>
      <c r="Q110" s="421">
        <f t="shared" si="9"/>
        <v>242.51968503937007</v>
      </c>
      <c r="R110" s="455">
        <f>Tabela317[[#This Row],[Participação]]*100</f>
        <v>94.78</v>
      </c>
      <c r="S110" s="422">
        <f t="shared" si="10"/>
        <v>242.51968503937007</v>
      </c>
      <c r="T110" s="422">
        <f>Tabela317[[#This Row],[META 2024]]*0.65</f>
        <v>158.19140999999999</v>
      </c>
      <c r="U110" s="421">
        <v>243.37139999999999</v>
      </c>
      <c r="V110" s="422">
        <f t="shared" si="7"/>
        <v>0.9900009971751591</v>
      </c>
      <c r="W110" s="422">
        <f t="shared" si="11"/>
        <v>0.9900009971751591</v>
      </c>
    </row>
    <row r="111" spans="1:23">
      <c r="A111" s="456">
        <v>125</v>
      </c>
      <c r="B111" s="457" t="s">
        <v>145</v>
      </c>
      <c r="C111" s="418">
        <v>66</v>
      </c>
      <c r="D111" s="418">
        <v>64</v>
      </c>
      <c r="E111" s="418">
        <v>54</v>
      </c>
      <c r="F111" s="418">
        <v>44</v>
      </c>
      <c r="G111" s="454">
        <f t="shared" si="8"/>
        <v>228</v>
      </c>
      <c r="H111" s="420">
        <v>0.9012</v>
      </c>
      <c r="I111" s="421">
        <f>Tabela317[[#This Row],[TOTAL ALUNOS ABAIXO DO BASICO]]/Tabela317[[#This Row],[TOTAL DE ALUNOS]]*100</f>
        <v>28.947368421052634</v>
      </c>
      <c r="J111" s="421">
        <f>Tabela317[[#This Row],[Abaixo do Básico]]*1</f>
        <v>28.947368421052634</v>
      </c>
      <c r="K111" s="421">
        <f>Tabela317[[#This Row],[TOTAL ALUNOS DO BASICO]]/Tabela317[[#This Row],[TOTAL DE ALUNOS]]*100</f>
        <v>28.07017543859649</v>
      </c>
      <c r="L111" s="421">
        <f>Tabela317[[#This Row],[Básico]]*2</f>
        <v>56.140350877192979</v>
      </c>
      <c r="M111" s="421">
        <f>Tabela317[[#This Row],[TOTAL ALUNOS ADEQUADO]]/Tabela317[[#This Row],[TOTAL DE ALUNOS]]*100</f>
        <v>23.684210526315788</v>
      </c>
      <c r="N111" s="421">
        <f>Tabela317[[#This Row],[Adequado]]*3</f>
        <v>71.05263157894737</v>
      </c>
      <c r="O111" s="421">
        <f>Tabela317[[#This Row],[TOTAL DE ALUNOS AVANÇADO]]/Tabela317[[#This Row],[TOTAL DE ALUNOS]]*100</f>
        <v>19.298245614035086</v>
      </c>
      <c r="P111" s="421">
        <f>Tabela317[[#This Row],[Avançado]]*4</f>
        <v>77.192982456140342</v>
      </c>
      <c r="Q111" s="421">
        <f t="shared" si="9"/>
        <v>233.33333333333331</v>
      </c>
      <c r="R111" s="455">
        <f>Tabela317[[#This Row],[Participação]]*100</f>
        <v>90.12</v>
      </c>
      <c r="S111" s="422">
        <f t="shared" si="10"/>
        <v>233.33333333333331</v>
      </c>
      <c r="T111" s="422">
        <f>Tabela317[[#This Row],[META 2024]]*0.65</f>
        <v>161.90811000000002</v>
      </c>
      <c r="U111" s="421">
        <v>249.08940000000001</v>
      </c>
      <c r="V111" s="422">
        <f t="shared" si="7"/>
        <v>0.81927238439960337</v>
      </c>
      <c r="W111" s="422">
        <f t="shared" si="11"/>
        <v>0.81927238439960337</v>
      </c>
    </row>
    <row r="112" spans="1:23">
      <c r="A112" s="456">
        <v>128</v>
      </c>
      <c r="B112" s="457" t="s">
        <v>118</v>
      </c>
      <c r="C112" s="418">
        <v>22</v>
      </c>
      <c r="D112" s="418">
        <v>16</v>
      </c>
      <c r="E112" s="418">
        <v>35</v>
      </c>
      <c r="F112" s="418">
        <v>34</v>
      </c>
      <c r="G112" s="454">
        <f t="shared" si="8"/>
        <v>107</v>
      </c>
      <c r="H112" s="420">
        <v>0.99070000000000003</v>
      </c>
      <c r="I112" s="421">
        <f>Tabela317[[#This Row],[TOTAL ALUNOS ABAIXO DO BASICO]]/Tabela317[[#This Row],[TOTAL DE ALUNOS]]*100</f>
        <v>20.5607476635514</v>
      </c>
      <c r="J112" s="421">
        <f>Tabela317[[#This Row],[Abaixo do Básico]]*1</f>
        <v>20.5607476635514</v>
      </c>
      <c r="K112" s="421">
        <f>Tabela317[[#This Row],[TOTAL ALUNOS DO BASICO]]/Tabela317[[#This Row],[TOTAL DE ALUNOS]]*100</f>
        <v>14.953271028037381</v>
      </c>
      <c r="L112" s="421">
        <f>Tabela317[[#This Row],[Básico]]*2</f>
        <v>29.906542056074763</v>
      </c>
      <c r="M112" s="421">
        <f>Tabela317[[#This Row],[TOTAL ALUNOS ADEQUADO]]/Tabela317[[#This Row],[TOTAL DE ALUNOS]]*100</f>
        <v>32.710280373831772</v>
      </c>
      <c r="N112" s="421">
        <f>Tabela317[[#This Row],[Adequado]]*3</f>
        <v>98.130841121495308</v>
      </c>
      <c r="O112" s="421">
        <f>Tabela317[[#This Row],[TOTAL DE ALUNOS AVANÇADO]]/Tabela317[[#This Row],[TOTAL DE ALUNOS]]*100</f>
        <v>31.775700934579437</v>
      </c>
      <c r="P112" s="421">
        <f>Tabela317[[#This Row],[Avançado]]*4</f>
        <v>127.10280373831775</v>
      </c>
      <c r="Q112" s="421">
        <f t="shared" si="9"/>
        <v>275.70093457943921</v>
      </c>
      <c r="R112" s="455">
        <f>Tabela317[[#This Row],[Participação]]*100</f>
        <v>99.070000000000007</v>
      </c>
      <c r="S112" s="422">
        <f t="shared" si="10"/>
        <v>275.70093457943921</v>
      </c>
      <c r="T112" s="422">
        <f>Tabela317[[#This Row],[META 2024]]*0.65</f>
        <v>174.79071999999999</v>
      </c>
      <c r="U112" s="420">
        <v>268.90879999999999</v>
      </c>
      <c r="V112" s="422">
        <f t="shared" si="7"/>
        <v>1.0721660979424912</v>
      </c>
      <c r="W112" s="422">
        <f t="shared" si="11"/>
        <v>1</v>
      </c>
    </row>
    <row r="113" spans="1:23">
      <c r="A113" s="456">
        <v>134</v>
      </c>
      <c r="B113" s="457" t="s">
        <v>62</v>
      </c>
      <c r="C113" s="418">
        <v>48</v>
      </c>
      <c r="D113" s="418">
        <v>49</v>
      </c>
      <c r="E113" s="418">
        <v>58</v>
      </c>
      <c r="F113" s="418">
        <v>59</v>
      </c>
      <c r="G113" s="454">
        <f t="shared" si="8"/>
        <v>214</v>
      </c>
      <c r="H113" s="420">
        <v>0.93859999999999999</v>
      </c>
      <c r="I113" s="421">
        <f>Tabela317[[#This Row],[TOTAL ALUNOS ABAIXO DO BASICO]]/Tabela317[[#This Row],[TOTAL DE ALUNOS]]*100</f>
        <v>22.429906542056074</v>
      </c>
      <c r="J113" s="421">
        <f>Tabela317[[#This Row],[Abaixo do Básico]]*1</f>
        <v>22.429906542056074</v>
      </c>
      <c r="K113" s="421">
        <f>Tabela317[[#This Row],[TOTAL ALUNOS DO BASICO]]/Tabela317[[#This Row],[TOTAL DE ALUNOS]]*100</f>
        <v>22.897196261682243</v>
      </c>
      <c r="L113" s="421">
        <f>Tabela317[[#This Row],[Básico]]*2</f>
        <v>45.794392523364486</v>
      </c>
      <c r="M113" s="421">
        <f>Tabela317[[#This Row],[TOTAL ALUNOS ADEQUADO]]/Tabela317[[#This Row],[TOTAL DE ALUNOS]]*100</f>
        <v>27.102803738317753</v>
      </c>
      <c r="N113" s="421">
        <f>Tabela317[[#This Row],[Adequado]]*3</f>
        <v>81.308411214953253</v>
      </c>
      <c r="O113" s="421">
        <f>Tabela317[[#This Row],[TOTAL DE ALUNOS AVANÇADO]]/Tabela317[[#This Row],[TOTAL DE ALUNOS]]*100</f>
        <v>27.570093457943923</v>
      </c>
      <c r="P113" s="421">
        <f>Tabela317[[#This Row],[Avançado]]*4</f>
        <v>110.28037383177569</v>
      </c>
      <c r="Q113" s="421">
        <f>SUM(J113,L113,N113,P113)</f>
        <v>259.81308411214951</v>
      </c>
      <c r="R113" s="455">
        <f>Tabela317[[#This Row],[Participação]]*100</f>
        <v>93.86</v>
      </c>
      <c r="S113" s="422">
        <f t="shared" si="10"/>
        <v>259.81308411214951</v>
      </c>
      <c r="T113" s="422">
        <f>Tabela317[[#This Row],[META 2024]]*0.65</f>
        <v>177.21528499999999</v>
      </c>
      <c r="U113" s="421">
        <v>272.63889999999998</v>
      </c>
      <c r="V113" s="422">
        <f t="shared" si="7"/>
        <v>0.86559075667118179</v>
      </c>
      <c r="W113" s="422">
        <f t="shared" si="11"/>
        <v>0.86559075667118179</v>
      </c>
    </row>
    <row r="114" spans="1:23">
      <c r="A114" s="456">
        <v>135</v>
      </c>
      <c r="B114" s="457" t="s">
        <v>208</v>
      </c>
      <c r="C114" s="418">
        <v>44</v>
      </c>
      <c r="D114" s="418">
        <v>46</v>
      </c>
      <c r="E114" s="418">
        <v>49</v>
      </c>
      <c r="F114" s="418">
        <v>45</v>
      </c>
      <c r="G114" s="454">
        <f t="shared" si="8"/>
        <v>184</v>
      </c>
      <c r="H114" s="420">
        <v>0.8679</v>
      </c>
      <c r="I114" s="421">
        <f>Tabela317[[#This Row],[TOTAL ALUNOS ABAIXO DO BASICO]]/Tabela317[[#This Row],[TOTAL DE ALUNOS]]*100</f>
        <v>23.913043478260871</v>
      </c>
      <c r="J114" s="421">
        <f>Tabela317[[#This Row],[Abaixo do Básico]]*1</f>
        <v>23.913043478260871</v>
      </c>
      <c r="K114" s="421">
        <f>Tabela317[[#This Row],[TOTAL ALUNOS DO BASICO]]/Tabela317[[#This Row],[TOTAL DE ALUNOS]]*100</f>
        <v>25</v>
      </c>
      <c r="L114" s="421">
        <f>Tabela317[[#This Row],[Básico]]*2</f>
        <v>50</v>
      </c>
      <c r="M114" s="421">
        <f>Tabela317[[#This Row],[TOTAL ALUNOS ADEQUADO]]/Tabela317[[#This Row],[TOTAL DE ALUNOS]]*100</f>
        <v>26.630434782608699</v>
      </c>
      <c r="N114" s="421">
        <f>Tabela317[[#This Row],[Adequado]]*3</f>
        <v>79.891304347826093</v>
      </c>
      <c r="O114" s="421">
        <f>Tabela317[[#This Row],[TOTAL DE ALUNOS AVANÇADO]]/Tabela317[[#This Row],[TOTAL DE ALUNOS]]*100</f>
        <v>24.456521739130434</v>
      </c>
      <c r="P114" s="421">
        <f>Tabela317[[#This Row],[Avançado]]*4</f>
        <v>97.826086956521735</v>
      </c>
      <c r="Q114" s="421">
        <f>SUM(J114,L114,N114,P114)</f>
        <v>251.63043478260869</v>
      </c>
      <c r="R114" s="455">
        <f>Tabela317[[#This Row],[Participação]]*100</f>
        <v>86.79</v>
      </c>
      <c r="S114" s="422">
        <f t="shared" si="10"/>
        <v>251.63043478260869</v>
      </c>
      <c r="T114" s="422">
        <f>Tabela317[[#This Row],[META 2024]]*0.65</f>
        <v>161.40072000000001</v>
      </c>
      <c r="U114" s="421">
        <v>248.30879999999999</v>
      </c>
      <c r="V114" s="422">
        <f t="shared" si="7"/>
        <v>1.0382200916486557</v>
      </c>
      <c r="W114" s="422">
        <f t="shared" si="11"/>
        <v>1</v>
      </c>
    </row>
    <row r="115" spans="1:23">
      <c r="A115" s="456">
        <v>136</v>
      </c>
      <c r="B115" s="457" t="s">
        <v>181</v>
      </c>
      <c r="C115" s="418">
        <v>36</v>
      </c>
      <c r="D115" s="418">
        <v>45</v>
      </c>
      <c r="E115" s="418">
        <v>46</v>
      </c>
      <c r="F115" s="418">
        <v>40</v>
      </c>
      <c r="G115" s="454">
        <f t="shared" si="8"/>
        <v>167</v>
      </c>
      <c r="H115" s="420">
        <v>0.93820000000000003</v>
      </c>
      <c r="I115" s="421">
        <f>Tabela317[[#This Row],[TOTAL ALUNOS ABAIXO DO BASICO]]/Tabela317[[#This Row],[TOTAL DE ALUNOS]]*100</f>
        <v>21.556886227544911</v>
      </c>
      <c r="J115" s="421">
        <f>Tabela317[[#This Row],[Abaixo do Básico]]*1</f>
        <v>21.556886227544911</v>
      </c>
      <c r="K115" s="421">
        <f>Tabela317[[#This Row],[TOTAL ALUNOS DO BASICO]]/Tabela317[[#This Row],[TOTAL DE ALUNOS]]*100</f>
        <v>26.946107784431138</v>
      </c>
      <c r="L115" s="421">
        <f>Tabela317[[#This Row],[Básico]]*2</f>
        <v>53.892215568862277</v>
      </c>
      <c r="M115" s="421">
        <f>Tabela317[[#This Row],[TOTAL ALUNOS ADEQUADO]]/Tabela317[[#This Row],[TOTAL DE ALUNOS]]*100</f>
        <v>27.54491017964072</v>
      </c>
      <c r="N115" s="421">
        <f>Tabela317[[#This Row],[Adequado]]*3</f>
        <v>82.634730538922156</v>
      </c>
      <c r="O115" s="421">
        <f>Tabela317[[#This Row],[TOTAL DE ALUNOS AVANÇADO]]/Tabela317[[#This Row],[TOTAL DE ALUNOS]]*100</f>
        <v>23.952095808383234</v>
      </c>
      <c r="P115" s="421">
        <f>Tabela317[[#This Row],[Avançado]]*4</f>
        <v>95.808383233532936</v>
      </c>
      <c r="Q115" s="421">
        <f>SUM(J115,L115,N115,P115)</f>
        <v>253.8922155688623</v>
      </c>
      <c r="R115" s="455">
        <f>Tabela317[[#This Row],[Participação]]*100</f>
        <v>93.820000000000007</v>
      </c>
      <c r="S115" s="422">
        <f t="shared" si="10"/>
        <v>253.8922155688623</v>
      </c>
      <c r="T115" s="422">
        <f>Tabela317[[#This Row],[META 2024]]*0.65</f>
        <v>169.78812499999998</v>
      </c>
      <c r="U115" s="421">
        <v>261.21249999999998</v>
      </c>
      <c r="V115" s="422">
        <f t="shared" si="7"/>
        <v>0.91993071397931159</v>
      </c>
      <c r="W115" s="422">
        <f t="shared" si="11"/>
        <v>0.91993071397931159</v>
      </c>
    </row>
    <row r="116" spans="1:23">
      <c r="A116" s="456">
        <v>138</v>
      </c>
      <c r="B116" s="457" t="s">
        <v>20</v>
      </c>
      <c r="C116" s="418">
        <v>27</v>
      </c>
      <c r="D116" s="418">
        <v>37</v>
      </c>
      <c r="E116" s="418">
        <v>49</v>
      </c>
      <c r="F116" s="418">
        <v>47</v>
      </c>
      <c r="G116" s="454">
        <f t="shared" si="8"/>
        <v>160</v>
      </c>
      <c r="H116" s="420">
        <v>1</v>
      </c>
      <c r="I116" s="421">
        <f>Tabela317[[#This Row],[TOTAL ALUNOS ABAIXO DO BASICO]]/Tabela317[[#This Row],[TOTAL DE ALUNOS]]*100</f>
        <v>16.875</v>
      </c>
      <c r="J116" s="421">
        <f>Tabela317[[#This Row],[Abaixo do Básico]]*1</f>
        <v>16.875</v>
      </c>
      <c r="K116" s="421">
        <f>Tabela317[[#This Row],[TOTAL ALUNOS DO BASICO]]/Tabela317[[#This Row],[TOTAL DE ALUNOS]]*100</f>
        <v>23.125</v>
      </c>
      <c r="L116" s="421">
        <f>Tabela317[[#This Row],[Básico]]*2</f>
        <v>46.25</v>
      </c>
      <c r="M116" s="421">
        <f>Tabela317[[#This Row],[TOTAL ALUNOS ADEQUADO]]/Tabela317[[#This Row],[TOTAL DE ALUNOS]]*100</f>
        <v>30.625000000000004</v>
      </c>
      <c r="N116" s="421">
        <f>Tabela317[[#This Row],[Adequado]]*3</f>
        <v>91.875000000000014</v>
      </c>
      <c r="O116" s="421">
        <f>Tabela317[[#This Row],[TOTAL DE ALUNOS AVANÇADO]]/Tabela317[[#This Row],[TOTAL DE ALUNOS]]*100</f>
        <v>29.375</v>
      </c>
      <c r="P116" s="421">
        <f>Tabela317[[#This Row],[Avançado]]*4</f>
        <v>117.5</v>
      </c>
      <c r="Q116" s="421">
        <f>SUM(J116,L116,N116,P116)</f>
        <v>272.5</v>
      </c>
      <c r="R116" s="455">
        <f>Tabela317[[#This Row],[Participação]]*100</f>
        <v>100</v>
      </c>
      <c r="S116" s="422">
        <f t="shared" si="10"/>
        <v>272.5</v>
      </c>
      <c r="T116" s="422">
        <f>Tabela317[[#This Row],[META 2024]]*0.65</f>
        <v>180.98509000000001</v>
      </c>
      <c r="U116" s="421">
        <v>278.43860000000001</v>
      </c>
      <c r="V116" s="422">
        <f t="shared" si="7"/>
        <v>0.93906222567047604</v>
      </c>
      <c r="W116" s="422">
        <f t="shared" si="11"/>
        <v>0.93906222567047604</v>
      </c>
    </row>
    <row r="117" spans="1:23">
      <c r="A117" s="456">
        <v>139</v>
      </c>
      <c r="B117" s="457" t="s">
        <v>196</v>
      </c>
      <c r="C117" s="418">
        <v>62</v>
      </c>
      <c r="D117" s="418">
        <v>47</v>
      </c>
      <c r="E117" s="418">
        <v>43</v>
      </c>
      <c r="F117" s="418">
        <v>22</v>
      </c>
      <c r="G117" s="454">
        <f t="shared" si="8"/>
        <v>174</v>
      </c>
      <c r="H117" s="420">
        <v>0.9405</v>
      </c>
      <c r="I117" s="421">
        <f>Tabela317[[#This Row],[TOTAL ALUNOS ABAIXO DO BASICO]]/Tabela317[[#This Row],[TOTAL DE ALUNOS]]*100</f>
        <v>35.632183908045981</v>
      </c>
      <c r="J117" s="421">
        <f>Tabela317[[#This Row],[Abaixo do Básico]]*1</f>
        <v>35.632183908045981</v>
      </c>
      <c r="K117" s="421">
        <f>Tabela317[[#This Row],[TOTAL ALUNOS DO BASICO]]/Tabela317[[#This Row],[TOTAL DE ALUNOS]]*100</f>
        <v>27.011494252873565</v>
      </c>
      <c r="L117" s="421">
        <f>Tabela317[[#This Row],[Básico]]*2</f>
        <v>54.022988505747129</v>
      </c>
      <c r="M117" s="421">
        <f>Tabela317[[#This Row],[TOTAL ALUNOS ADEQUADO]]/Tabela317[[#This Row],[TOTAL DE ALUNOS]]*100</f>
        <v>24.712643678160919</v>
      </c>
      <c r="N117" s="421">
        <f>Tabela317[[#This Row],[Adequado]]*3</f>
        <v>74.137931034482762</v>
      </c>
      <c r="O117" s="421">
        <f>Tabela317[[#This Row],[TOTAL DE ALUNOS AVANÇADO]]/Tabela317[[#This Row],[TOTAL DE ALUNOS]]*100</f>
        <v>12.643678160919542</v>
      </c>
      <c r="P117" s="421">
        <f>Tabela317[[#This Row],[Avançado]]*4</f>
        <v>50.574712643678168</v>
      </c>
      <c r="Q117" s="421">
        <f t="shared" ref="Q117:Q180" si="12">SUM(J117,L117,N117,P117)</f>
        <v>214.36781609195404</v>
      </c>
      <c r="R117" s="455">
        <f>Tabela317[[#This Row],[Participação]]*100</f>
        <v>94.05</v>
      </c>
      <c r="S117" s="422">
        <f t="shared" si="10"/>
        <v>214.36781609195404</v>
      </c>
      <c r="T117" s="422">
        <f>Tabela317[[#This Row],[META 2024]]*0.65</f>
        <v>151.63297499999999</v>
      </c>
      <c r="U117" s="421">
        <v>233.28149999999999</v>
      </c>
      <c r="V117" s="422">
        <f t="shared" si="7"/>
        <v>0.76835241165659818</v>
      </c>
      <c r="W117" s="422">
        <f t="shared" si="11"/>
        <v>0.76835241165659818</v>
      </c>
    </row>
    <row r="118" spans="1:23">
      <c r="A118" s="456">
        <v>140</v>
      </c>
      <c r="B118" s="457" t="s">
        <v>172</v>
      </c>
      <c r="C118" s="418">
        <v>23</v>
      </c>
      <c r="D118" s="418">
        <v>26</v>
      </c>
      <c r="E118" s="418">
        <v>23</v>
      </c>
      <c r="F118" s="418">
        <v>25</v>
      </c>
      <c r="G118" s="454">
        <f t="shared" si="8"/>
        <v>97</v>
      </c>
      <c r="H118" s="420">
        <v>0.98980000000000001</v>
      </c>
      <c r="I118" s="421">
        <f>Tabela317[[#This Row],[TOTAL ALUNOS ABAIXO DO BASICO]]/Tabela317[[#This Row],[TOTAL DE ALUNOS]]*100</f>
        <v>23.711340206185564</v>
      </c>
      <c r="J118" s="421">
        <f>Tabela317[[#This Row],[Abaixo do Básico]]*1</f>
        <v>23.711340206185564</v>
      </c>
      <c r="K118" s="421">
        <f>Tabela317[[#This Row],[TOTAL ALUNOS DO BASICO]]/Tabela317[[#This Row],[TOTAL DE ALUNOS]]*100</f>
        <v>26.804123711340207</v>
      </c>
      <c r="L118" s="421">
        <f>Tabela317[[#This Row],[Básico]]*2</f>
        <v>53.608247422680414</v>
      </c>
      <c r="M118" s="421">
        <f>Tabela317[[#This Row],[TOTAL ALUNOS ADEQUADO]]/Tabela317[[#This Row],[TOTAL DE ALUNOS]]*100</f>
        <v>23.711340206185564</v>
      </c>
      <c r="N118" s="421">
        <f>Tabela317[[#This Row],[Adequado]]*3</f>
        <v>71.13402061855669</v>
      </c>
      <c r="O118" s="421">
        <f>Tabela317[[#This Row],[TOTAL DE ALUNOS AVANÇADO]]/Tabela317[[#This Row],[TOTAL DE ALUNOS]]*100</f>
        <v>25.773195876288657</v>
      </c>
      <c r="P118" s="421">
        <f>Tabela317[[#This Row],[Avançado]]*4</f>
        <v>103.09278350515463</v>
      </c>
      <c r="Q118" s="421">
        <f t="shared" si="12"/>
        <v>251.54639175257728</v>
      </c>
      <c r="R118" s="455">
        <f>Tabela317[[#This Row],[Participação]]*100</f>
        <v>98.98</v>
      </c>
      <c r="S118" s="422">
        <f t="shared" si="10"/>
        <v>251.54639175257728</v>
      </c>
      <c r="T118" s="422">
        <f>Tabela317[[#This Row],[META 2024]]*0.65</f>
        <v>149.58755500000001</v>
      </c>
      <c r="U118" s="421">
        <v>230.13470000000001</v>
      </c>
      <c r="V118" s="422">
        <f t="shared" si="7"/>
        <v>1.2658280656946594</v>
      </c>
      <c r="W118" s="422">
        <f t="shared" si="11"/>
        <v>1</v>
      </c>
    </row>
    <row r="119" spans="1:23">
      <c r="A119" s="456">
        <v>141</v>
      </c>
      <c r="B119" s="457" t="s">
        <v>33</v>
      </c>
      <c r="C119" s="418">
        <v>41</v>
      </c>
      <c r="D119" s="418">
        <v>51</v>
      </c>
      <c r="E119" s="418">
        <v>56</v>
      </c>
      <c r="F119" s="418">
        <v>39</v>
      </c>
      <c r="G119" s="454">
        <f t="shared" si="8"/>
        <v>187</v>
      </c>
      <c r="H119" s="420">
        <v>0.96389999999999998</v>
      </c>
      <c r="I119" s="421">
        <f>Tabela317[[#This Row],[TOTAL ALUNOS ABAIXO DO BASICO]]/Tabela317[[#This Row],[TOTAL DE ALUNOS]]*100</f>
        <v>21.925133689839569</v>
      </c>
      <c r="J119" s="421">
        <f>Tabela317[[#This Row],[Abaixo do Básico]]*1</f>
        <v>21.925133689839569</v>
      </c>
      <c r="K119" s="421">
        <f>Tabela317[[#This Row],[TOTAL ALUNOS DO BASICO]]/Tabela317[[#This Row],[TOTAL DE ALUNOS]]*100</f>
        <v>27.27272727272727</v>
      </c>
      <c r="L119" s="421">
        <f>Tabela317[[#This Row],[Básico]]*2</f>
        <v>54.54545454545454</v>
      </c>
      <c r="M119" s="421">
        <f>Tabela317[[#This Row],[TOTAL ALUNOS ADEQUADO]]/Tabela317[[#This Row],[TOTAL DE ALUNOS]]*100</f>
        <v>29.946524064171122</v>
      </c>
      <c r="N119" s="421">
        <f>Tabela317[[#This Row],[Adequado]]*3</f>
        <v>89.839572192513373</v>
      </c>
      <c r="O119" s="421">
        <f>Tabela317[[#This Row],[TOTAL DE ALUNOS AVANÇADO]]/Tabela317[[#This Row],[TOTAL DE ALUNOS]]*100</f>
        <v>20.855614973262032</v>
      </c>
      <c r="P119" s="421">
        <f>Tabela317[[#This Row],[Avançado]]*4</f>
        <v>83.422459893048128</v>
      </c>
      <c r="Q119" s="421">
        <f t="shared" si="12"/>
        <v>249.73262032085563</v>
      </c>
      <c r="R119" s="455">
        <f>Tabela317[[#This Row],[Participação]]*100</f>
        <v>96.39</v>
      </c>
      <c r="S119" s="422">
        <f t="shared" si="10"/>
        <v>249.73262032085563</v>
      </c>
      <c r="T119" s="422">
        <f>Tabela317[[#This Row],[META 2024]]*0.65</f>
        <v>181.42488000000003</v>
      </c>
      <c r="U119" s="421">
        <v>279.11520000000002</v>
      </c>
      <c r="V119" s="422">
        <f t="shared" si="7"/>
        <v>0.69922731669683968</v>
      </c>
      <c r="W119" s="422">
        <f t="shared" si="11"/>
        <v>0.69922731669683968</v>
      </c>
    </row>
    <row r="120" spans="1:23">
      <c r="A120" s="456">
        <v>142</v>
      </c>
      <c r="B120" s="457" t="s">
        <v>105</v>
      </c>
      <c r="C120" s="418">
        <v>40</v>
      </c>
      <c r="D120" s="418">
        <v>55</v>
      </c>
      <c r="E120" s="418">
        <v>47</v>
      </c>
      <c r="F120" s="418">
        <v>46</v>
      </c>
      <c r="G120" s="454">
        <f t="shared" si="8"/>
        <v>188</v>
      </c>
      <c r="H120" s="420">
        <v>0.94950000000000001</v>
      </c>
      <c r="I120" s="421">
        <f>Tabela317[[#This Row],[TOTAL ALUNOS ABAIXO DO BASICO]]/Tabela317[[#This Row],[TOTAL DE ALUNOS]]*100</f>
        <v>21.276595744680851</v>
      </c>
      <c r="J120" s="421">
        <f>Tabela317[[#This Row],[Abaixo do Básico]]*1</f>
        <v>21.276595744680851</v>
      </c>
      <c r="K120" s="421">
        <f>Tabela317[[#This Row],[TOTAL ALUNOS DO BASICO]]/Tabela317[[#This Row],[TOTAL DE ALUNOS]]*100</f>
        <v>29.25531914893617</v>
      </c>
      <c r="L120" s="421">
        <f>Tabela317[[#This Row],[Básico]]*2</f>
        <v>58.51063829787234</v>
      </c>
      <c r="M120" s="421">
        <f>Tabela317[[#This Row],[TOTAL ALUNOS ADEQUADO]]/Tabela317[[#This Row],[TOTAL DE ALUNOS]]*100</f>
        <v>25</v>
      </c>
      <c r="N120" s="421">
        <f>Tabela317[[#This Row],[Adequado]]*3</f>
        <v>75</v>
      </c>
      <c r="O120" s="421">
        <f>Tabela317[[#This Row],[TOTAL DE ALUNOS AVANÇADO]]/Tabela317[[#This Row],[TOTAL DE ALUNOS]]*100</f>
        <v>24.468085106382979</v>
      </c>
      <c r="P120" s="421">
        <f>Tabela317[[#This Row],[Avançado]]*4</f>
        <v>97.872340425531917</v>
      </c>
      <c r="Q120" s="421">
        <f t="shared" si="12"/>
        <v>252.65957446808511</v>
      </c>
      <c r="R120" s="455">
        <f>Tabela317[[#This Row],[Participação]]*100</f>
        <v>94.95</v>
      </c>
      <c r="S120" s="422">
        <f t="shared" si="10"/>
        <v>252.65957446808511</v>
      </c>
      <c r="T120" s="422">
        <f>Tabela317[[#This Row],[META 2024]]*0.65</f>
        <v>160.87311499999998</v>
      </c>
      <c r="U120" s="421">
        <v>247.49709999999999</v>
      </c>
      <c r="V120" s="422">
        <f t="shared" si="7"/>
        <v>1.0595963631560603</v>
      </c>
      <c r="W120" s="422">
        <f t="shared" si="11"/>
        <v>1</v>
      </c>
    </row>
    <row r="121" spans="1:23">
      <c r="A121" s="456">
        <v>144</v>
      </c>
      <c r="B121" s="457" t="s">
        <v>114</v>
      </c>
      <c r="C121" s="418">
        <v>32</v>
      </c>
      <c r="D121" s="418">
        <v>50</v>
      </c>
      <c r="E121" s="418">
        <v>55</v>
      </c>
      <c r="F121" s="418">
        <v>45</v>
      </c>
      <c r="G121" s="454">
        <f t="shared" si="8"/>
        <v>182</v>
      </c>
      <c r="H121" s="420">
        <v>0.92390000000000005</v>
      </c>
      <c r="I121" s="421">
        <f>Tabela317[[#This Row],[TOTAL ALUNOS ABAIXO DO BASICO]]/Tabela317[[#This Row],[TOTAL DE ALUNOS]]*100</f>
        <v>17.582417582417584</v>
      </c>
      <c r="J121" s="421">
        <f>Tabela317[[#This Row],[Abaixo do Básico]]*1</f>
        <v>17.582417582417584</v>
      </c>
      <c r="K121" s="421">
        <f>Tabela317[[#This Row],[TOTAL ALUNOS DO BASICO]]/Tabela317[[#This Row],[TOTAL DE ALUNOS]]*100</f>
        <v>27.472527472527474</v>
      </c>
      <c r="L121" s="421">
        <f>Tabela317[[#This Row],[Básico]]*2</f>
        <v>54.945054945054949</v>
      </c>
      <c r="M121" s="421">
        <f>Tabela317[[#This Row],[TOTAL ALUNOS ADEQUADO]]/Tabela317[[#This Row],[TOTAL DE ALUNOS]]*100</f>
        <v>30.219780219780219</v>
      </c>
      <c r="N121" s="421">
        <f>Tabela317[[#This Row],[Adequado]]*3</f>
        <v>90.659340659340657</v>
      </c>
      <c r="O121" s="421">
        <f>Tabela317[[#This Row],[TOTAL DE ALUNOS AVANÇADO]]/Tabela317[[#This Row],[TOTAL DE ALUNOS]]*100</f>
        <v>24.725274725274726</v>
      </c>
      <c r="P121" s="421">
        <f>Tabela317[[#This Row],[Avançado]]*4</f>
        <v>98.901098901098905</v>
      </c>
      <c r="Q121" s="421">
        <f t="shared" si="12"/>
        <v>262.08791208791212</v>
      </c>
      <c r="R121" s="455">
        <f>Tabela317[[#This Row],[Participação]]*100</f>
        <v>92.39</v>
      </c>
      <c r="S121" s="422">
        <f t="shared" si="10"/>
        <v>262.08791208791212</v>
      </c>
      <c r="T121" s="422">
        <f>Tabela317[[#This Row],[META 2024]]*0.65</f>
        <v>163.410585</v>
      </c>
      <c r="U121" s="421">
        <v>251.40090000000001</v>
      </c>
      <c r="V121" s="422">
        <f t="shared" si="7"/>
        <v>1.1214566863172624</v>
      </c>
      <c r="W121" s="422">
        <f t="shared" si="11"/>
        <v>1</v>
      </c>
    </row>
    <row r="122" spans="1:23">
      <c r="A122" s="456">
        <v>145</v>
      </c>
      <c r="B122" s="457" t="s">
        <v>139</v>
      </c>
      <c r="C122" s="418">
        <v>21</v>
      </c>
      <c r="D122" s="418">
        <v>23</v>
      </c>
      <c r="E122" s="418">
        <v>20</v>
      </c>
      <c r="F122" s="418">
        <v>22</v>
      </c>
      <c r="G122" s="454">
        <f t="shared" si="8"/>
        <v>86</v>
      </c>
      <c r="H122" s="420">
        <v>0.85150000000000003</v>
      </c>
      <c r="I122" s="421">
        <f>Tabela317[[#This Row],[TOTAL ALUNOS ABAIXO DO BASICO]]/Tabela317[[#This Row],[TOTAL DE ALUNOS]]*100</f>
        <v>24.418604651162788</v>
      </c>
      <c r="J122" s="421">
        <f>Tabela317[[#This Row],[Abaixo do Básico]]*1</f>
        <v>24.418604651162788</v>
      </c>
      <c r="K122" s="421">
        <f>Tabela317[[#This Row],[TOTAL ALUNOS DO BASICO]]/Tabela317[[#This Row],[TOTAL DE ALUNOS]]*100</f>
        <v>26.744186046511626</v>
      </c>
      <c r="L122" s="421">
        <f>Tabela317[[#This Row],[Básico]]*2</f>
        <v>53.488372093023251</v>
      </c>
      <c r="M122" s="421">
        <f>Tabela317[[#This Row],[TOTAL ALUNOS ADEQUADO]]/Tabela317[[#This Row],[TOTAL DE ALUNOS]]*100</f>
        <v>23.255813953488371</v>
      </c>
      <c r="N122" s="421">
        <f>Tabela317[[#This Row],[Adequado]]*3</f>
        <v>69.767441860465112</v>
      </c>
      <c r="O122" s="421">
        <f>Tabela317[[#This Row],[TOTAL DE ALUNOS AVANÇADO]]/Tabela317[[#This Row],[TOTAL DE ALUNOS]]*100</f>
        <v>25.581395348837212</v>
      </c>
      <c r="P122" s="421">
        <f>Tabela317[[#This Row],[Avançado]]*4</f>
        <v>102.32558139534885</v>
      </c>
      <c r="Q122" s="421">
        <f t="shared" si="12"/>
        <v>250</v>
      </c>
      <c r="R122" s="455">
        <f>Tabela317[[#This Row],[Participação]]*100</f>
        <v>85.15</v>
      </c>
      <c r="S122" s="422">
        <f t="shared" si="10"/>
        <v>250</v>
      </c>
      <c r="T122" s="422">
        <f>Tabela317[[#This Row],[META 2024]]*0.65</f>
        <v>156.66833</v>
      </c>
      <c r="U122" s="421">
        <v>241.0282</v>
      </c>
      <c r="V122" s="422">
        <f t="shared" si="7"/>
        <v>1.1063515152405996</v>
      </c>
      <c r="W122" s="422">
        <f t="shared" si="11"/>
        <v>1</v>
      </c>
    </row>
    <row r="123" spans="1:23">
      <c r="A123" s="456">
        <v>147</v>
      </c>
      <c r="B123" s="457" t="s">
        <v>42</v>
      </c>
      <c r="C123" s="418">
        <v>42</v>
      </c>
      <c r="D123" s="418">
        <v>55</v>
      </c>
      <c r="E123" s="418">
        <v>47</v>
      </c>
      <c r="F123" s="418">
        <v>52</v>
      </c>
      <c r="G123" s="454">
        <f t="shared" si="8"/>
        <v>196</v>
      </c>
      <c r="H123" s="420">
        <v>0.88290000000000002</v>
      </c>
      <c r="I123" s="421">
        <f>Tabela317[[#This Row],[TOTAL ALUNOS ABAIXO DO BASICO]]/Tabela317[[#This Row],[TOTAL DE ALUNOS]]*100</f>
        <v>21.428571428571427</v>
      </c>
      <c r="J123" s="421">
        <f>Tabela317[[#This Row],[Abaixo do Básico]]*1</f>
        <v>21.428571428571427</v>
      </c>
      <c r="K123" s="421">
        <f>Tabela317[[#This Row],[TOTAL ALUNOS DO BASICO]]/Tabela317[[#This Row],[TOTAL DE ALUNOS]]*100</f>
        <v>28.061224489795915</v>
      </c>
      <c r="L123" s="421">
        <f>Tabela317[[#This Row],[Básico]]*2</f>
        <v>56.12244897959183</v>
      </c>
      <c r="M123" s="421">
        <f>Tabela317[[#This Row],[TOTAL ALUNOS ADEQUADO]]/Tabela317[[#This Row],[TOTAL DE ALUNOS]]*100</f>
        <v>23.979591836734691</v>
      </c>
      <c r="N123" s="421">
        <f>Tabela317[[#This Row],[Adequado]]*3</f>
        <v>71.938775510204067</v>
      </c>
      <c r="O123" s="421">
        <f>Tabela317[[#This Row],[TOTAL DE ALUNOS AVANÇADO]]/Tabela317[[#This Row],[TOTAL DE ALUNOS]]*100</f>
        <v>26.530612244897959</v>
      </c>
      <c r="P123" s="421">
        <f>Tabela317[[#This Row],[Avançado]]*4</f>
        <v>106.12244897959184</v>
      </c>
      <c r="Q123" s="421">
        <f t="shared" si="12"/>
        <v>255.61224489795916</v>
      </c>
      <c r="R123" s="455">
        <f>Tabela317[[#This Row],[Participação]]*100</f>
        <v>88.29</v>
      </c>
      <c r="S123" s="422">
        <f t="shared" si="10"/>
        <v>255.61224489795916</v>
      </c>
      <c r="T123" s="422">
        <f>Tabela317[[#This Row],[META 2024]]*0.65</f>
        <v>176.98512000000002</v>
      </c>
      <c r="U123" s="421">
        <v>272.28480000000002</v>
      </c>
      <c r="V123" s="422">
        <f t="shared" si="7"/>
        <v>0.82505130025577356</v>
      </c>
      <c r="W123" s="422">
        <f t="shared" si="11"/>
        <v>0.82505130025577356</v>
      </c>
    </row>
    <row r="124" spans="1:23">
      <c r="A124" s="456">
        <v>148</v>
      </c>
      <c r="B124" s="457" t="s">
        <v>131</v>
      </c>
      <c r="C124" s="418">
        <v>51</v>
      </c>
      <c r="D124" s="418">
        <v>38</v>
      </c>
      <c r="E124" s="418">
        <v>43</v>
      </c>
      <c r="F124" s="418">
        <v>34</v>
      </c>
      <c r="G124" s="454">
        <f t="shared" si="8"/>
        <v>166</v>
      </c>
      <c r="H124" s="420">
        <v>0.9708</v>
      </c>
      <c r="I124" s="421">
        <f>Tabela317[[#This Row],[TOTAL ALUNOS ABAIXO DO BASICO]]/Tabela317[[#This Row],[TOTAL DE ALUNOS]]*100</f>
        <v>30.722891566265059</v>
      </c>
      <c r="J124" s="421">
        <f>Tabela317[[#This Row],[Abaixo do Básico]]*1</f>
        <v>30.722891566265059</v>
      </c>
      <c r="K124" s="421">
        <f>Tabela317[[#This Row],[TOTAL ALUNOS DO BASICO]]/Tabela317[[#This Row],[TOTAL DE ALUNOS]]*100</f>
        <v>22.891566265060241</v>
      </c>
      <c r="L124" s="421">
        <f>Tabela317[[#This Row],[Básico]]*2</f>
        <v>45.783132530120483</v>
      </c>
      <c r="M124" s="421">
        <f>Tabela317[[#This Row],[TOTAL ALUNOS ADEQUADO]]/Tabela317[[#This Row],[TOTAL DE ALUNOS]]*100</f>
        <v>25.903614457831324</v>
      </c>
      <c r="N124" s="421">
        <f>Tabela317[[#This Row],[Adequado]]*3</f>
        <v>77.710843373493972</v>
      </c>
      <c r="O124" s="421">
        <f>Tabela317[[#This Row],[TOTAL DE ALUNOS AVANÇADO]]/Tabela317[[#This Row],[TOTAL DE ALUNOS]]*100</f>
        <v>20.481927710843372</v>
      </c>
      <c r="P124" s="421">
        <f>Tabela317[[#This Row],[Avançado]]*4</f>
        <v>81.92771084337349</v>
      </c>
      <c r="Q124" s="421">
        <f t="shared" si="12"/>
        <v>236.14457831325299</v>
      </c>
      <c r="R124" s="455">
        <f>Tabela317[[#This Row],[Participação]]*100</f>
        <v>97.08</v>
      </c>
      <c r="S124" s="422">
        <f t="shared" si="10"/>
        <v>236.14457831325299</v>
      </c>
      <c r="T124" s="422">
        <f>Tabela317[[#This Row],[META 2024]]*0.65</f>
        <v>153.10483500000001</v>
      </c>
      <c r="U124" s="421">
        <v>235.54589999999999</v>
      </c>
      <c r="V124" s="422">
        <f t="shared" si="7"/>
        <v>1.0072618944606428</v>
      </c>
      <c r="W124" s="422">
        <f t="shared" si="11"/>
        <v>1</v>
      </c>
    </row>
    <row r="125" spans="1:23">
      <c r="A125" s="456">
        <v>149</v>
      </c>
      <c r="B125" s="457" t="s">
        <v>28</v>
      </c>
      <c r="C125" s="418">
        <v>40</v>
      </c>
      <c r="D125" s="418">
        <v>54</v>
      </c>
      <c r="E125" s="418">
        <v>63</v>
      </c>
      <c r="F125" s="418">
        <v>55</v>
      </c>
      <c r="G125" s="454">
        <f t="shared" si="8"/>
        <v>212</v>
      </c>
      <c r="H125" s="420">
        <v>0.96799999999999997</v>
      </c>
      <c r="I125" s="421">
        <f>Tabela317[[#This Row],[TOTAL ALUNOS ABAIXO DO BASICO]]/Tabela317[[#This Row],[TOTAL DE ALUNOS]]*100</f>
        <v>18.867924528301888</v>
      </c>
      <c r="J125" s="421">
        <f>Tabela317[[#This Row],[Abaixo do Básico]]*1</f>
        <v>18.867924528301888</v>
      </c>
      <c r="K125" s="421">
        <f>Tabela317[[#This Row],[TOTAL ALUNOS DO BASICO]]/Tabela317[[#This Row],[TOTAL DE ALUNOS]]*100</f>
        <v>25.471698113207548</v>
      </c>
      <c r="L125" s="421">
        <f>Tabela317[[#This Row],[Básico]]*2</f>
        <v>50.943396226415096</v>
      </c>
      <c r="M125" s="421">
        <f>Tabela317[[#This Row],[TOTAL ALUNOS ADEQUADO]]/Tabela317[[#This Row],[TOTAL DE ALUNOS]]*100</f>
        <v>29.716981132075471</v>
      </c>
      <c r="N125" s="421">
        <f>Tabela317[[#This Row],[Adequado]]*3</f>
        <v>89.15094339622641</v>
      </c>
      <c r="O125" s="421">
        <f>Tabela317[[#This Row],[TOTAL DE ALUNOS AVANÇADO]]/Tabela317[[#This Row],[TOTAL DE ALUNOS]]*100</f>
        <v>25.943396226415093</v>
      </c>
      <c r="P125" s="421">
        <f>Tabela317[[#This Row],[Avançado]]*4</f>
        <v>103.77358490566037</v>
      </c>
      <c r="Q125" s="421">
        <f t="shared" si="12"/>
        <v>262.73584905660374</v>
      </c>
      <c r="R125" s="455">
        <f>Tabela317[[#This Row],[Participação]]*100</f>
        <v>96.8</v>
      </c>
      <c r="S125" s="422">
        <f t="shared" si="10"/>
        <v>262.73584905660374</v>
      </c>
      <c r="T125" s="422">
        <f>Tabela317[[#This Row],[META 2024]]*0.65</f>
        <v>152.95436000000001</v>
      </c>
      <c r="U125" s="421">
        <v>235.31440000000001</v>
      </c>
      <c r="V125" s="422">
        <f t="shared" si="7"/>
        <v>1.3329460385959471</v>
      </c>
      <c r="W125" s="422">
        <f t="shared" si="11"/>
        <v>1</v>
      </c>
    </row>
    <row r="126" spans="1:23">
      <c r="A126" s="456">
        <v>150</v>
      </c>
      <c r="B126" s="457" t="s">
        <v>70</v>
      </c>
      <c r="C126" s="418">
        <v>37</v>
      </c>
      <c r="D126" s="418">
        <v>38</v>
      </c>
      <c r="E126" s="418">
        <v>41</v>
      </c>
      <c r="F126" s="418">
        <v>29</v>
      </c>
      <c r="G126" s="454">
        <f t="shared" si="8"/>
        <v>145</v>
      </c>
      <c r="H126" s="420">
        <v>0.92949999999999999</v>
      </c>
      <c r="I126" s="421">
        <f>Tabela317[[#This Row],[TOTAL ALUNOS ABAIXO DO BASICO]]/Tabela317[[#This Row],[TOTAL DE ALUNOS]]*100</f>
        <v>25.517241379310345</v>
      </c>
      <c r="J126" s="421">
        <f>Tabela317[[#This Row],[Abaixo do Básico]]*1</f>
        <v>25.517241379310345</v>
      </c>
      <c r="K126" s="421">
        <f>Tabela317[[#This Row],[TOTAL ALUNOS DO BASICO]]/Tabela317[[#This Row],[TOTAL DE ALUNOS]]*100</f>
        <v>26.206896551724139</v>
      </c>
      <c r="L126" s="421">
        <f>Tabela317[[#This Row],[Básico]]*2</f>
        <v>52.413793103448278</v>
      </c>
      <c r="M126" s="421">
        <f>Tabela317[[#This Row],[TOTAL ALUNOS ADEQUADO]]/Tabela317[[#This Row],[TOTAL DE ALUNOS]]*100</f>
        <v>28.27586206896552</v>
      </c>
      <c r="N126" s="421">
        <f>Tabela317[[#This Row],[Adequado]]*3</f>
        <v>84.827586206896555</v>
      </c>
      <c r="O126" s="421">
        <f>Tabela317[[#This Row],[TOTAL DE ALUNOS AVANÇADO]]/Tabela317[[#This Row],[TOTAL DE ALUNOS]]*100</f>
        <v>20</v>
      </c>
      <c r="P126" s="421">
        <f>Tabela317[[#This Row],[Avançado]]*4</f>
        <v>80</v>
      </c>
      <c r="Q126" s="421">
        <f t="shared" si="12"/>
        <v>242.75862068965517</v>
      </c>
      <c r="R126" s="455">
        <f>Tabela317[[#This Row],[Participação]]*100</f>
        <v>92.95</v>
      </c>
      <c r="S126" s="422">
        <f t="shared" si="10"/>
        <v>242.75862068965517</v>
      </c>
      <c r="T126" s="422">
        <f>Tabela317[[#This Row],[META 2024]]*0.65</f>
        <v>152.19451000000001</v>
      </c>
      <c r="U126" s="421">
        <v>234.1454</v>
      </c>
      <c r="V126" s="422">
        <f t="shared" si="7"/>
        <v>1.1051022226806222</v>
      </c>
      <c r="W126" s="422">
        <f t="shared" si="11"/>
        <v>1</v>
      </c>
    </row>
    <row r="127" spans="1:23">
      <c r="A127" s="456">
        <v>151</v>
      </c>
      <c r="B127" s="457" t="s">
        <v>168</v>
      </c>
      <c r="C127" s="418">
        <v>55</v>
      </c>
      <c r="D127" s="418">
        <v>33</v>
      </c>
      <c r="E127" s="418">
        <v>43</v>
      </c>
      <c r="F127" s="418">
        <v>46</v>
      </c>
      <c r="G127" s="454">
        <f t="shared" si="8"/>
        <v>177</v>
      </c>
      <c r="H127" s="420">
        <v>0.95679999999999998</v>
      </c>
      <c r="I127" s="421">
        <f>Tabela317[[#This Row],[TOTAL ALUNOS ABAIXO DO BASICO]]/Tabela317[[#This Row],[TOTAL DE ALUNOS]]*100</f>
        <v>31.073446327683619</v>
      </c>
      <c r="J127" s="421">
        <f>Tabela317[[#This Row],[Abaixo do Básico]]*1</f>
        <v>31.073446327683619</v>
      </c>
      <c r="K127" s="421">
        <f>Tabela317[[#This Row],[TOTAL ALUNOS DO BASICO]]/Tabela317[[#This Row],[TOTAL DE ALUNOS]]*100</f>
        <v>18.64406779661017</v>
      </c>
      <c r="L127" s="421">
        <f>Tabela317[[#This Row],[Básico]]*2</f>
        <v>37.288135593220339</v>
      </c>
      <c r="M127" s="421">
        <f>Tabela317[[#This Row],[TOTAL ALUNOS ADEQUADO]]/Tabela317[[#This Row],[TOTAL DE ALUNOS]]*100</f>
        <v>24.293785310734464</v>
      </c>
      <c r="N127" s="421">
        <f>Tabela317[[#This Row],[Adequado]]*3</f>
        <v>72.881355932203391</v>
      </c>
      <c r="O127" s="421">
        <f>Tabela317[[#This Row],[TOTAL DE ALUNOS AVANÇADO]]/Tabela317[[#This Row],[TOTAL DE ALUNOS]]*100</f>
        <v>25.988700564971751</v>
      </c>
      <c r="P127" s="421">
        <f>Tabela317[[#This Row],[Avançado]]*4</f>
        <v>103.954802259887</v>
      </c>
      <c r="Q127" s="421">
        <f t="shared" si="12"/>
        <v>245.19774011299435</v>
      </c>
      <c r="R127" s="455">
        <f>Tabela317[[#This Row],[Participação]]*100</f>
        <v>95.679999999999993</v>
      </c>
      <c r="S127" s="422">
        <f t="shared" si="10"/>
        <v>245.19774011299435</v>
      </c>
      <c r="T127" s="422">
        <f>Tabela317[[#This Row],[META 2024]]*0.65</f>
        <v>152.239035</v>
      </c>
      <c r="U127" s="421">
        <v>234.2139</v>
      </c>
      <c r="V127" s="422">
        <f t="shared" si="7"/>
        <v>1.1339903409782299</v>
      </c>
      <c r="W127" s="422">
        <f t="shared" si="11"/>
        <v>1</v>
      </c>
    </row>
    <row r="128" spans="1:23">
      <c r="A128" s="456">
        <v>152</v>
      </c>
      <c r="B128" s="457" t="s">
        <v>24</v>
      </c>
      <c r="C128" s="418">
        <v>52</v>
      </c>
      <c r="D128" s="418">
        <v>51</v>
      </c>
      <c r="E128" s="418">
        <v>47</v>
      </c>
      <c r="F128" s="418">
        <v>53</v>
      </c>
      <c r="G128" s="454">
        <f t="shared" si="8"/>
        <v>203</v>
      </c>
      <c r="H128" s="420">
        <v>0.92689999999999995</v>
      </c>
      <c r="I128" s="421">
        <f>Tabela317[[#This Row],[TOTAL ALUNOS ABAIXO DO BASICO]]/Tabela317[[#This Row],[TOTAL DE ALUNOS]]*100</f>
        <v>25.615763546798032</v>
      </c>
      <c r="J128" s="421">
        <f>Tabela317[[#This Row],[Abaixo do Básico]]*1</f>
        <v>25.615763546798032</v>
      </c>
      <c r="K128" s="421">
        <f>Tabela317[[#This Row],[TOTAL ALUNOS DO BASICO]]/Tabela317[[#This Row],[TOTAL DE ALUNOS]]*100</f>
        <v>25.123152709359609</v>
      </c>
      <c r="L128" s="421">
        <f>Tabela317[[#This Row],[Básico]]*2</f>
        <v>50.246305418719217</v>
      </c>
      <c r="M128" s="421">
        <f>Tabela317[[#This Row],[TOTAL ALUNOS ADEQUADO]]/Tabela317[[#This Row],[TOTAL DE ALUNOS]]*100</f>
        <v>23.152709359605911</v>
      </c>
      <c r="N128" s="421">
        <f>Tabela317[[#This Row],[Adequado]]*3</f>
        <v>69.458128078817737</v>
      </c>
      <c r="O128" s="421">
        <f>Tabela317[[#This Row],[TOTAL DE ALUNOS AVANÇADO]]/Tabela317[[#This Row],[TOTAL DE ALUNOS]]*100</f>
        <v>26.108374384236456</v>
      </c>
      <c r="P128" s="421">
        <f>Tabela317[[#This Row],[Avançado]]*4</f>
        <v>104.43349753694582</v>
      </c>
      <c r="Q128" s="421">
        <f t="shared" si="12"/>
        <v>249.7536945812808</v>
      </c>
      <c r="R128" s="455">
        <f>Tabela317[[#This Row],[Participação]]*100</f>
        <v>92.69</v>
      </c>
      <c r="S128" s="422">
        <f t="shared" si="10"/>
        <v>249.7536945812808</v>
      </c>
      <c r="T128" s="422">
        <f>Tabela317[[#This Row],[META 2024]]*0.65</f>
        <v>172.71241000000003</v>
      </c>
      <c r="U128" s="421">
        <v>265.71140000000003</v>
      </c>
      <c r="V128" s="422">
        <f t="shared" si="7"/>
        <v>0.82840990618587118</v>
      </c>
      <c r="W128" s="422">
        <f t="shared" si="11"/>
        <v>0.82840990618587118</v>
      </c>
    </row>
    <row r="129" spans="1:23">
      <c r="A129" s="456">
        <v>153</v>
      </c>
      <c r="B129" s="457" t="s">
        <v>189</v>
      </c>
      <c r="C129" s="418">
        <v>65</v>
      </c>
      <c r="D129" s="418">
        <v>63</v>
      </c>
      <c r="E129" s="418">
        <v>83</v>
      </c>
      <c r="F129" s="418">
        <v>64</v>
      </c>
      <c r="G129" s="454">
        <f t="shared" si="8"/>
        <v>275</v>
      </c>
      <c r="H129" s="420">
        <v>0.90759999999999996</v>
      </c>
      <c r="I129" s="421">
        <f>Tabela317[[#This Row],[TOTAL ALUNOS ABAIXO DO BASICO]]/Tabela317[[#This Row],[TOTAL DE ALUNOS]]*100</f>
        <v>23.636363636363637</v>
      </c>
      <c r="J129" s="421">
        <f>Tabela317[[#This Row],[Abaixo do Básico]]*1</f>
        <v>23.636363636363637</v>
      </c>
      <c r="K129" s="421">
        <f>Tabela317[[#This Row],[TOTAL ALUNOS DO BASICO]]/Tabela317[[#This Row],[TOTAL DE ALUNOS]]*100</f>
        <v>22.90909090909091</v>
      </c>
      <c r="L129" s="421">
        <f>Tabela317[[#This Row],[Básico]]*2</f>
        <v>45.81818181818182</v>
      </c>
      <c r="M129" s="421">
        <f>Tabela317[[#This Row],[TOTAL ALUNOS ADEQUADO]]/Tabela317[[#This Row],[TOTAL DE ALUNOS]]*100</f>
        <v>30.181818181818183</v>
      </c>
      <c r="N129" s="421">
        <f>Tabela317[[#This Row],[Adequado]]*3</f>
        <v>90.545454545454547</v>
      </c>
      <c r="O129" s="421">
        <f>Tabela317[[#This Row],[TOTAL DE ALUNOS AVANÇADO]]/Tabela317[[#This Row],[TOTAL DE ALUNOS]]*100</f>
        <v>23.272727272727273</v>
      </c>
      <c r="P129" s="421">
        <f>Tabela317[[#This Row],[Avançado]]*4</f>
        <v>93.090909090909093</v>
      </c>
      <c r="Q129" s="421">
        <f t="shared" si="12"/>
        <v>253.09090909090909</v>
      </c>
      <c r="R129" s="455">
        <f>Tabela317[[#This Row],[Participação]]*100</f>
        <v>90.759999999999991</v>
      </c>
      <c r="S129" s="422">
        <f t="shared" si="10"/>
        <v>253.09090909090909</v>
      </c>
      <c r="T129" s="422">
        <f>Tabela317[[#This Row],[META 2024]]*0.65</f>
        <v>167.359465</v>
      </c>
      <c r="U129" s="421">
        <v>257.47609999999997</v>
      </c>
      <c r="V129" s="422">
        <f t="shared" si="7"/>
        <v>0.95133871888258059</v>
      </c>
      <c r="W129" s="422">
        <f t="shared" si="11"/>
        <v>0.95133871888258059</v>
      </c>
    </row>
    <row r="130" spans="1:23">
      <c r="A130" s="456">
        <v>154</v>
      </c>
      <c r="B130" s="457" t="s">
        <v>178</v>
      </c>
      <c r="C130" s="418">
        <v>31</v>
      </c>
      <c r="D130" s="418">
        <v>23</v>
      </c>
      <c r="E130" s="418">
        <v>34</v>
      </c>
      <c r="F130" s="418">
        <v>27</v>
      </c>
      <c r="G130" s="454">
        <f t="shared" si="8"/>
        <v>115</v>
      </c>
      <c r="H130" s="420">
        <v>0.83940000000000003</v>
      </c>
      <c r="I130" s="421">
        <f>Tabela317[[#This Row],[TOTAL ALUNOS ABAIXO DO BASICO]]/Tabela317[[#This Row],[TOTAL DE ALUNOS]]*100</f>
        <v>26.956521739130434</v>
      </c>
      <c r="J130" s="421">
        <f>Tabela317[[#This Row],[Abaixo do Básico]]*1</f>
        <v>26.956521739130434</v>
      </c>
      <c r="K130" s="421">
        <f>Tabela317[[#This Row],[TOTAL ALUNOS DO BASICO]]/Tabela317[[#This Row],[TOTAL DE ALUNOS]]*100</f>
        <v>20</v>
      </c>
      <c r="L130" s="421">
        <f>Tabela317[[#This Row],[Básico]]*2</f>
        <v>40</v>
      </c>
      <c r="M130" s="421">
        <f>Tabela317[[#This Row],[TOTAL ALUNOS ADEQUADO]]/Tabela317[[#This Row],[TOTAL DE ALUNOS]]*100</f>
        <v>29.565217391304348</v>
      </c>
      <c r="N130" s="421">
        <f>Tabela317[[#This Row],[Adequado]]*3</f>
        <v>88.695652173913047</v>
      </c>
      <c r="O130" s="421">
        <f>Tabela317[[#This Row],[TOTAL DE ALUNOS AVANÇADO]]/Tabela317[[#This Row],[TOTAL DE ALUNOS]]*100</f>
        <v>23.478260869565219</v>
      </c>
      <c r="P130" s="421">
        <f>Tabela317[[#This Row],[Avançado]]*4</f>
        <v>93.913043478260875</v>
      </c>
      <c r="Q130" s="421">
        <f t="shared" si="12"/>
        <v>249.56521739130437</v>
      </c>
      <c r="R130" s="455">
        <f>Tabela317[[#This Row],[Participação]]*100</f>
        <v>83.94</v>
      </c>
      <c r="S130" s="422">
        <f t="shared" si="10"/>
        <v>249.56521739130437</v>
      </c>
      <c r="T130" s="422">
        <f>Tabela317[[#This Row],[META 2024]]*0.65</f>
        <v>161.51934500000002</v>
      </c>
      <c r="U130" s="421">
        <v>248.4913</v>
      </c>
      <c r="V130" s="422">
        <f t="shared" si="7"/>
        <v>1.0123478584712091</v>
      </c>
      <c r="W130" s="422">
        <f t="shared" si="11"/>
        <v>1</v>
      </c>
    </row>
    <row r="131" spans="1:23">
      <c r="A131" s="456">
        <v>156</v>
      </c>
      <c r="B131" s="457" t="s">
        <v>9</v>
      </c>
      <c r="C131" s="418">
        <v>24</v>
      </c>
      <c r="D131" s="418">
        <v>17</v>
      </c>
      <c r="E131" s="418">
        <v>17</v>
      </c>
      <c r="F131" s="418">
        <v>4</v>
      </c>
      <c r="G131" s="454">
        <f t="shared" si="8"/>
        <v>62</v>
      </c>
      <c r="H131" s="420">
        <v>0.9254</v>
      </c>
      <c r="I131" s="421">
        <f>Tabela317[[#This Row],[TOTAL ALUNOS ABAIXO DO BASICO]]/Tabela317[[#This Row],[TOTAL DE ALUNOS]]*100</f>
        <v>38.70967741935484</v>
      </c>
      <c r="J131" s="421">
        <f>Tabela317[[#This Row],[Abaixo do Básico]]*1</f>
        <v>38.70967741935484</v>
      </c>
      <c r="K131" s="421">
        <f>Tabela317[[#This Row],[TOTAL ALUNOS DO BASICO]]/Tabela317[[#This Row],[TOTAL DE ALUNOS]]*100</f>
        <v>27.419354838709676</v>
      </c>
      <c r="L131" s="421">
        <f>Tabela317[[#This Row],[Básico]]*2</f>
        <v>54.838709677419352</v>
      </c>
      <c r="M131" s="421">
        <f>Tabela317[[#This Row],[TOTAL ALUNOS ADEQUADO]]/Tabela317[[#This Row],[TOTAL DE ALUNOS]]*100</f>
        <v>27.419354838709676</v>
      </c>
      <c r="N131" s="421">
        <f>Tabela317[[#This Row],[Adequado]]*3</f>
        <v>82.258064516129025</v>
      </c>
      <c r="O131" s="421">
        <f>Tabela317[[#This Row],[TOTAL DE ALUNOS AVANÇADO]]/Tabela317[[#This Row],[TOTAL DE ALUNOS]]*100</f>
        <v>6.4516129032258061</v>
      </c>
      <c r="P131" s="421">
        <f>Tabela317[[#This Row],[Avançado]]*4</f>
        <v>25.806451612903224</v>
      </c>
      <c r="Q131" s="421">
        <f t="shared" si="12"/>
        <v>201.61290322580646</v>
      </c>
      <c r="R131" s="455">
        <f>Tabela317[[#This Row],[Participação]]*100</f>
        <v>92.54</v>
      </c>
      <c r="S131" s="422">
        <f t="shared" si="10"/>
        <v>201.61290322580646</v>
      </c>
      <c r="T131" s="422">
        <f>Tabela317[[#This Row],[META 2024]]*0.65</f>
        <v>146.63298</v>
      </c>
      <c r="U131" s="421">
        <v>225.58920000000001</v>
      </c>
      <c r="V131" s="422">
        <f t="shared" si="7"/>
        <v>0.69633428785986029</v>
      </c>
      <c r="W131" s="422">
        <f t="shared" si="11"/>
        <v>0.69633428785986029</v>
      </c>
    </row>
    <row r="132" spans="1:23">
      <c r="A132" s="456">
        <v>158</v>
      </c>
      <c r="B132" s="457" t="s">
        <v>74</v>
      </c>
      <c r="C132" s="418">
        <v>29</v>
      </c>
      <c r="D132" s="418">
        <v>25</v>
      </c>
      <c r="E132" s="418">
        <v>20</v>
      </c>
      <c r="F132" s="418">
        <v>13</v>
      </c>
      <c r="G132" s="454">
        <f t="shared" si="8"/>
        <v>87</v>
      </c>
      <c r="H132" s="420">
        <v>0.8286</v>
      </c>
      <c r="I132" s="421">
        <f>Tabela317[[#This Row],[TOTAL ALUNOS ABAIXO DO BASICO]]/Tabela317[[#This Row],[TOTAL DE ALUNOS]]*100</f>
        <v>33.333333333333329</v>
      </c>
      <c r="J132" s="421">
        <f>Tabela317[[#This Row],[Abaixo do Básico]]*1</f>
        <v>33.333333333333329</v>
      </c>
      <c r="K132" s="421">
        <f>Tabela317[[#This Row],[TOTAL ALUNOS DO BASICO]]/Tabela317[[#This Row],[TOTAL DE ALUNOS]]*100</f>
        <v>28.735632183908045</v>
      </c>
      <c r="L132" s="421">
        <f>Tabela317[[#This Row],[Básico]]*2</f>
        <v>57.47126436781609</v>
      </c>
      <c r="M132" s="421">
        <f>Tabela317[[#This Row],[TOTAL ALUNOS ADEQUADO]]/Tabela317[[#This Row],[TOTAL DE ALUNOS]]*100</f>
        <v>22.988505747126435</v>
      </c>
      <c r="N132" s="421">
        <f>Tabela317[[#This Row],[Adequado]]*3</f>
        <v>68.965517241379303</v>
      </c>
      <c r="O132" s="421">
        <f>Tabela317[[#This Row],[TOTAL DE ALUNOS AVANÇADO]]/Tabela317[[#This Row],[TOTAL DE ALUNOS]]*100</f>
        <v>14.942528735632186</v>
      </c>
      <c r="P132" s="421">
        <f>Tabela317[[#This Row],[Avançado]]*4</f>
        <v>59.770114942528743</v>
      </c>
      <c r="Q132" s="421">
        <f t="shared" si="12"/>
        <v>219.54022988505747</v>
      </c>
      <c r="R132" s="455">
        <f>Tabela317[[#This Row],[Participação]]*100</f>
        <v>82.86</v>
      </c>
      <c r="S132" s="422">
        <f t="shared" si="10"/>
        <v>219.54022988505747</v>
      </c>
      <c r="T132" s="422">
        <f>Tabela317[[#This Row],[META 2024]]*0.65</f>
        <v>163.00349</v>
      </c>
      <c r="U132" s="421">
        <v>250.77459999999999</v>
      </c>
      <c r="V132" s="422">
        <f t="shared" si="7"/>
        <v>0.64413837178380762</v>
      </c>
      <c r="W132" s="422">
        <f t="shared" si="11"/>
        <v>0.64413837178380762</v>
      </c>
    </row>
    <row r="133" spans="1:23">
      <c r="A133" s="456">
        <v>159</v>
      </c>
      <c r="B133" s="457" t="s">
        <v>86</v>
      </c>
      <c r="C133" s="418">
        <v>39</v>
      </c>
      <c r="D133" s="418">
        <v>55</v>
      </c>
      <c r="E133" s="418">
        <v>44</v>
      </c>
      <c r="F133" s="418">
        <v>49</v>
      </c>
      <c r="G133" s="454">
        <f t="shared" si="8"/>
        <v>187</v>
      </c>
      <c r="H133" s="420">
        <v>0.87790000000000001</v>
      </c>
      <c r="I133" s="421">
        <f>Tabela317[[#This Row],[TOTAL ALUNOS ABAIXO DO BASICO]]/Tabela317[[#This Row],[TOTAL DE ALUNOS]]*100</f>
        <v>20.855614973262032</v>
      </c>
      <c r="J133" s="421">
        <f>Tabela317[[#This Row],[Abaixo do Básico]]*1</f>
        <v>20.855614973262032</v>
      </c>
      <c r="K133" s="421">
        <f>Tabela317[[#This Row],[TOTAL ALUNOS DO BASICO]]/Tabela317[[#This Row],[TOTAL DE ALUNOS]]*100</f>
        <v>29.411764705882355</v>
      </c>
      <c r="L133" s="421">
        <f>Tabela317[[#This Row],[Básico]]*2</f>
        <v>58.82352941176471</v>
      </c>
      <c r="M133" s="421">
        <f>Tabela317[[#This Row],[TOTAL ALUNOS ADEQUADO]]/Tabela317[[#This Row],[TOTAL DE ALUNOS]]*100</f>
        <v>23.52941176470588</v>
      </c>
      <c r="N133" s="421">
        <f>Tabela317[[#This Row],[Adequado]]*3</f>
        <v>70.588235294117638</v>
      </c>
      <c r="O133" s="421">
        <f>Tabela317[[#This Row],[TOTAL DE ALUNOS AVANÇADO]]/Tabela317[[#This Row],[TOTAL DE ALUNOS]]*100</f>
        <v>26.203208556149733</v>
      </c>
      <c r="P133" s="421">
        <f>Tabela317[[#This Row],[Avançado]]*4</f>
        <v>104.81283422459893</v>
      </c>
      <c r="Q133" s="421">
        <f t="shared" si="12"/>
        <v>255.0802139037433</v>
      </c>
      <c r="R133" s="455">
        <f>Tabela317[[#This Row],[Participação]]*100</f>
        <v>87.79</v>
      </c>
      <c r="S133" s="422">
        <f t="shared" si="10"/>
        <v>255.0802139037433</v>
      </c>
      <c r="T133" s="422">
        <f>Tabela317[[#This Row],[META 2024]]*0.65</f>
        <v>164.476325</v>
      </c>
      <c r="U133" s="421">
        <v>253.04050000000001</v>
      </c>
      <c r="V133" s="422">
        <f t="shared" ref="V133:V196" si="13">1-(U133-S133)/(U133-T133)</f>
        <v>1.0230309140659108</v>
      </c>
      <c r="W133" s="422">
        <f t="shared" si="11"/>
        <v>1</v>
      </c>
    </row>
    <row r="134" spans="1:23">
      <c r="A134" s="456">
        <v>161</v>
      </c>
      <c r="B134" s="457" t="s">
        <v>225</v>
      </c>
      <c r="C134" s="418">
        <v>10</v>
      </c>
      <c r="D134" s="418">
        <v>23</v>
      </c>
      <c r="E134" s="418">
        <v>16</v>
      </c>
      <c r="F134" s="418">
        <v>14</v>
      </c>
      <c r="G134" s="454">
        <f t="shared" ref="G134:G197" si="14">SUM(C134,D134,E134,F134)</f>
        <v>63</v>
      </c>
      <c r="H134" s="420">
        <v>1</v>
      </c>
      <c r="I134" s="421">
        <f>Tabela317[[#This Row],[TOTAL ALUNOS ABAIXO DO BASICO]]/Tabela317[[#This Row],[TOTAL DE ALUNOS]]*100</f>
        <v>15.873015873015872</v>
      </c>
      <c r="J134" s="421">
        <f>Tabela317[[#This Row],[Abaixo do Básico]]*1</f>
        <v>15.873015873015872</v>
      </c>
      <c r="K134" s="421">
        <f>Tabela317[[#This Row],[TOTAL ALUNOS DO BASICO]]/Tabela317[[#This Row],[TOTAL DE ALUNOS]]*100</f>
        <v>36.507936507936506</v>
      </c>
      <c r="L134" s="421">
        <f>Tabela317[[#This Row],[Básico]]*2</f>
        <v>73.015873015873012</v>
      </c>
      <c r="M134" s="421">
        <f>Tabela317[[#This Row],[TOTAL ALUNOS ADEQUADO]]/Tabela317[[#This Row],[TOTAL DE ALUNOS]]*100</f>
        <v>25.396825396825395</v>
      </c>
      <c r="N134" s="421">
        <f>Tabela317[[#This Row],[Adequado]]*3</f>
        <v>76.19047619047619</v>
      </c>
      <c r="O134" s="421">
        <f>Tabela317[[#This Row],[TOTAL DE ALUNOS AVANÇADO]]/Tabela317[[#This Row],[TOTAL DE ALUNOS]]*100</f>
        <v>22.222222222222221</v>
      </c>
      <c r="P134" s="421">
        <f>Tabela317[[#This Row],[Avançado]]*4</f>
        <v>88.888888888888886</v>
      </c>
      <c r="Q134" s="421">
        <f t="shared" si="12"/>
        <v>253.96825396825395</v>
      </c>
      <c r="R134" s="455">
        <f>Tabela317[[#This Row],[Participação]]*100</f>
        <v>100</v>
      </c>
      <c r="S134" s="422">
        <f t="shared" ref="S134:S197" si="15">IF(R134&gt;=$B$1,Q134,(R134*Q134)/100)</f>
        <v>253.96825396825395</v>
      </c>
      <c r="T134" s="422">
        <f>Tabela317[[#This Row],[META 2024]]*0.65</f>
        <v>159.814785</v>
      </c>
      <c r="U134" s="421">
        <v>245.8689</v>
      </c>
      <c r="V134" s="422">
        <f t="shared" si="13"/>
        <v>1.094119310485663</v>
      </c>
      <c r="W134" s="422">
        <f t="shared" si="11"/>
        <v>1</v>
      </c>
    </row>
    <row r="135" spans="1:23">
      <c r="A135" s="456">
        <v>162</v>
      </c>
      <c r="B135" s="457" t="s">
        <v>206</v>
      </c>
      <c r="C135" s="418">
        <v>17</v>
      </c>
      <c r="D135" s="418">
        <v>16</v>
      </c>
      <c r="E135" s="418">
        <v>14</v>
      </c>
      <c r="F135" s="418">
        <v>7</v>
      </c>
      <c r="G135" s="454">
        <f t="shared" si="14"/>
        <v>54</v>
      </c>
      <c r="H135" s="420">
        <v>1</v>
      </c>
      <c r="I135" s="421">
        <f>Tabela317[[#This Row],[TOTAL ALUNOS ABAIXO DO BASICO]]/Tabela317[[#This Row],[TOTAL DE ALUNOS]]*100</f>
        <v>31.481481481481481</v>
      </c>
      <c r="J135" s="421">
        <f>Tabela317[[#This Row],[Abaixo do Básico]]*1</f>
        <v>31.481481481481481</v>
      </c>
      <c r="K135" s="421">
        <f>Tabela317[[#This Row],[TOTAL ALUNOS DO BASICO]]/Tabela317[[#This Row],[TOTAL DE ALUNOS]]*100</f>
        <v>29.629629629629626</v>
      </c>
      <c r="L135" s="421">
        <f>Tabela317[[#This Row],[Básico]]*2</f>
        <v>59.259259259259252</v>
      </c>
      <c r="M135" s="421">
        <f>Tabela317[[#This Row],[TOTAL ALUNOS ADEQUADO]]/Tabela317[[#This Row],[TOTAL DE ALUNOS]]*100</f>
        <v>25.925925925925924</v>
      </c>
      <c r="N135" s="421">
        <f>Tabela317[[#This Row],[Adequado]]*3</f>
        <v>77.777777777777771</v>
      </c>
      <c r="O135" s="421">
        <f>Tabela317[[#This Row],[TOTAL DE ALUNOS AVANÇADO]]/Tabela317[[#This Row],[TOTAL DE ALUNOS]]*100</f>
        <v>12.962962962962962</v>
      </c>
      <c r="P135" s="421">
        <f>Tabela317[[#This Row],[Avançado]]*4</f>
        <v>51.851851851851848</v>
      </c>
      <c r="Q135" s="421">
        <f t="shared" si="12"/>
        <v>220.37037037037035</v>
      </c>
      <c r="R135" s="455">
        <f>Tabela317[[#This Row],[Participação]]*100</f>
        <v>100</v>
      </c>
      <c r="S135" s="422">
        <f t="shared" si="15"/>
        <v>220.37037037037035</v>
      </c>
      <c r="T135" s="422">
        <f>Tabela317[[#This Row],[META 2024]]*0.65</f>
        <v>151.69791000000001</v>
      </c>
      <c r="U135" s="421">
        <v>233.38140000000001</v>
      </c>
      <c r="V135" s="422">
        <f t="shared" si="13"/>
        <v>0.84071408274022497</v>
      </c>
      <c r="W135" s="422">
        <f t="shared" si="11"/>
        <v>0.84071408274022497</v>
      </c>
    </row>
    <row r="136" spans="1:23">
      <c r="A136" s="456">
        <v>164</v>
      </c>
      <c r="B136" s="457" t="s">
        <v>127</v>
      </c>
      <c r="C136" s="418">
        <v>22</v>
      </c>
      <c r="D136" s="418">
        <v>16</v>
      </c>
      <c r="E136" s="418">
        <v>25</v>
      </c>
      <c r="F136" s="418">
        <v>9</v>
      </c>
      <c r="G136" s="454">
        <f t="shared" si="14"/>
        <v>72</v>
      </c>
      <c r="H136" s="420">
        <v>0.96</v>
      </c>
      <c r="I136" s="421">
        <f>Tabela317[[#This Row],[TOTAL ALUNOS ABAIXO DO BASICO]]/Tabela317[[#This Row],[TOTAL DE ALUNOS]]*100</f>
        <v>30.555555555555557</v>
      </c>
      <c r="J136" s="421">
        <f>Tabela317[[#This Row],[Abaixo do Básico]]*1</f>
        <v>30.555555555555557</v>
      </c>
      <c r="K136" s="421">
        <f>Tabela317[[#This Row],[TOTAL ALUNOS DO BASICO]]/Tabela317[[#This Row],[TOTAL DE ALUNOS]]*100</f>
        <v>22.222222222222221</v>
      </c>
      <c r="L136" s="421">
        <f>Tabela317[[#This Row],[Básico]]*2</f>
        <v>44.444444444444443</v>
      </c>
      <c r="M136" s="421">
        <f>Tabela317[[#This Row],[TOTAL ALUNOS ADEQUADO]]/Tabela317[[#This Row],[TOTAL DE ALUNOS]]*100</f>
        <v>34.722222222222221</v>
      </c>
      <c r="N136" s="421">
        <f>Tabela317[[#This Row],[Adequado]]*3</f>
        <v>104.16666666666666</v>
      </c>
      <c r="O136" s="421">
        <f>Tabela317[[#This Row],[TOTAL DE ALUNOS AVANÇADO]]/Tabela317[[#This Row],[TOTAL DE ALUNOS]]*100</f>
        <v>12.5</v>
      </c>
      <c r="P136" s="421">
        <f>Tabela317[[#This Row],[Avançado]]*4</f>
        <v>50</v>
      </c>
      <c r="Q136" s="421">
        <f t="shared" si="12"/>
        <v>229.16666666666666</v>
      </c>
      <c r="R136" s="455">
        <f>Tabela317[[#This Row],[Participação]]*100</f>
        <v>96</v>
      </c>
      <c r="S136" s="422">
        <f t="shared" si="15"/>
        <v>229.16666666666666</v>
      </c>
      <c r="T136" s="422">
        <f>Tabela317[[#This Row],[META 2024]]*0.65</f>
        <v>155.78257500000001</v>
      </c>
      <c r="U136" s="421">
        <v>239.66550000000001</v>
      </c>
      <c r="V136" s="422">
        <f t="shared" si="13"/>
        <v>0.87483944636726307</v>
      </c>
      <c r="W136" s="422">
        <f t="shared" ref="W136:W171" si="16">IF(V136&lt;0,0,IF(V136&lt;=1,V136,1))</f>
        <v>0.87483944636726307</v>
      </c>
    </row>
    <row r="137" spans="1:23">
      <c r="A137" s="456">
        <v>165</v>
      </c>
      <c r="B137" s="457" t="s">
        <v>16</v>
      </c>
      <c r="C137" s="418">
        <v>19</v>
      </c>
      <c r="D137" s="418">
        <v>22</v>
      </c>
      <c r="E137" s="418">
        <v>36</v>
      </c>
      <c r="F137" s="418">
        <v>30</v>
      </c>
      <c r="G137" s="454">
        <f t="shared" si="14"/>
        <v>107</v>
      </c>
      <c r="H137" s="420">
        <v>0.9224</v>
      </c>
      <c r="I137" s="421">
        <f>Tabela317[[#This Row],[TOTAL ALUNOS ABAIXO DO BASICO]]/Tabela317[[#This Row],[TOTAL DE ALUNOS]]*100</f>
        <v>17.75700934579439</v>
      </c>
      <c r="J137" s="421">
        <f>Tabela317[[#This Row],[Abaixo do Básico]]*1</f>
        <v>17.75700934579439</v>
      </c>
      <c r="K137" s="421">
        <f>Tabela317[[#This Row],[TOTAL ALUNOS DO BASICO]]/Tabela317[[#This Row],[TOTAL DE ALUNOS]]*100</f>
        <v>20.5607476635514</v>
      </c>
      <c r="L137" s="421">
        <f>Tabela317[[#This Row],[Básico]]*2</f>
        <v>41.121495327102799</v>
      </c>
      <c r="M137" s="421">
        <f>Tabela317[[#This Row],[TOTAL ALUNOS ADEQUADO]]/Tabela317[[#This Row],[TOTAL DE ALUNOS]]*100</f>
        <v>33.644859813084111</v>
      </c>
      <c r="N137" s="421">
        <f>Tabela317[[#This Row],[Adequado]]*3</f>
        <v>100.93457943925233</v>
      </c>
      <c r="O137" s="421">
        <f>Tabela317[[#This Row],[TOTAL DE ALUNOS AVANÇADO]]/Tabela317[[#This Row],[TOTAL DE ALUNOS]]*100</f>
        <v>28.037383177570092</v>
      </c>
      <c r="P137" s="421">
        <f>Tabela317[[#This Row],[Avançado]]*4</f>
        <v>112.14953271028037</v>
      </c>
      <c r="Q137" s="421">
        <f t="shared" si="12"/>
        <v>271.96261682242988</v>
      </c>
      <c r="R137" s="455">
        <f>Tabela317[[#This Row],[Participação]]*100</f>
        <v>92.24</v>
      </c>
      <c r="S137" s="422">
        <f t="shared" si="15"/>
        <v>271.96261682242988</v>
      </c>
      <c r="T137" s="422">
        <f>Tabela317[[#This Row],[META 2024]]*0.65</f>
        <v>195.18278000000001</v>
      </c>
      <c r="U137" s="421">
        <v>300.28120000000001</v>
      </c>
      <c r="V137" s="422">
        <f t="shared" si="13"/>
        <v>0.73055177063965249</v>
      </c>
      <c r="W137" s="422">
        <f t="shared" si="16"/>
        <v>0.73055177063965249</v>
      </c>
    </row>
    <row r="138" spans="1:23">
      <c r="A138" s="456">
        <v>166</v>
      </c>
      <c r="B138" s="457" t="s">
        <v>72</v>
      </c>
      <c r="C138" s="418">
        <v>15</v>
      </c>
      <c r="D138" s="418">
        <v>27</v>
      </c>
      <c r="E138" s="418">
        <v>34</v>
      </c>
      <c r="F138" s="418">
        <v>33</v>
      </c>
      <c r="G138" s="454">
        <f t="shared" si="14"/>
        <v>109</v>
      </c>
      <c r="H138" s="420">
        <v>0.94779999999999998</v>
      </c>
      <c r="I138" s="421">
        <f>Tabela317[[#This Row],[TOTAL ALUNOS ABAIXO DO BASICO]]/Tabela317[[#This Row],[TOTAL DE ALUNOS]]*100</f>
        <v>13.761467889908257</v>
      </c>
      <c r="J138" s="421">
        <f>Tabela317[[#This Row],[Abaixo do Básico]]*1</f>
        <v>13.761467889908257</v>
      </c>
      <c r="K138" s="421">
        <f>Tabela317[[#This Row],[TOTAL ALUNOS DO BASICO]]/Tabela317[[#This Row],[TOTAL DE ALUNOS]]*100</f>
        <v>24.770642201834864</v>
      </c>
      <c r="L138" s="421">
        <f>Tabela317[[#This Row],[Básico]]*2</f>
        <v>49.541284403669728</v>
      </c>
      <c r="M138" s="421">
        <f>Tabela317[[#This Row],[TOTAL ALUNOS ADEQUADO]]/Tabela317[[#This Row],[TOTAL DE ALUNOS]]*100</f>
        <v>31.192660550458719</v>
      </c>
      <c r="N138" s="421">
        <f>Tabela317[[#This Row],[Adequado]]*3</f>
        <v>93.577981651376149</v>
      </c>
      <c r="O138" s="421">
        <f>Tabela317[[#This Row],[TOTAL DE ALUNOS AVANÇADO]]/Tabela317[[#This Row],[TOTAL DE ALUNOS]]*100</f>
        <v>30.275229357798167</v>
      </c>
      <c r="P138" s="421">
        <f>Tabela317[[#This Row],[Avançado]]*4</f>
        <v>121.10091743119267</v>
      </c>
      <c r="Q138" s="421">
        <f t="shared" si="12"/>
        <v>277.98165137614683</v>
      </c>
      <c r="R138" s="455">
        <f>Tabela317[[#This Row],[Participação]]*100</f>
        <v>94.78</v>
      </c>
      <c r="S138" s="422">
        <f t="shared" si="15"/>
        <v>277.98165137614683</v>
      </c>
      <c r="T138" s="422">
        <f>Tabela317[[#This Row],[META 2024]]*0.65</f>
        <v>183.60562999999999</v>
      </c>
      <c r="U138" s="421">
        <v>282.47019999999998</v>
      </c>
      <c r="V138" s="422">
        <f t="shared" si="13"/>
        <v>0.95459901738455799</v>
      </c>
      <c r="W138" s="422">
        <f t="shared" si="16"/>
        <v>0.95459901738455799</v>
      </c>
    </row>
    <row r="139" spans="1:23">
      <c r="A139" s="456">
        <v>169</v>
      </c>
      <c r="B139" s="457" t="s">
        <v>108</v>
      </c>
      <c r="C139" s="418">
        <v>28</v>
      </c>
      <c r="D139" s="418">
        <v>34</v>
      </c>
      <c r="E139" s="418">
        <v>32</v>
      </c>
      <c r="F139" s="418">
        <v>25</v>
      </c>
      <c r="G139" s="454">
        <f t="shared" si="14"/>
        <v>119</v>
      </c>
      <c r="H139" s="420">
        <v>0.77270000000000005</v>
      </c>
      <c r="I139" s="421">
        <f>Tabela317[[#This Row],[TOTAL ALUNOS ABAIXO DO BASICO]]/Tabela317[[#This Row],[TOTAL DE ALUNOS]]*100</f>
        <v>23.52941176470588</v>
      </c>
      <c r="J139" s="421">
        <f>Tabela317[[#This Row],[Abaixo do Básico]]*1</f>
        <v>23.52941176470588</v>
      </c>
      <c r="K139" s="421">
        <f>Tabela317[[#This Row],[TOTAL ALUNOS DO BASICO]]/Tabela317[[#This Row],[TOTAL DE ALUNOS]]*100</f>
        <v>28.571428571428569</v>
      </c>
      <c r="L139" s="421">
        <f>Tabela317[[#This Row],[Básico]]*2</f>
        <v>57.142857142857139</v>
      </c>
      <c r="M139" s="421">
        <f>Tabela317[[#This Row],[TOTAL ALUNOS ADEQUADO]]/Tabela317[[#This Row],[TOTAL DE ALUNOS]]*100</f>
        <v>26.890756302521009</v>
      </c>
      <c r="N139" s="421">
        <f>Tabela317[[#This Row],[Adequado]]*3</f>
        <v>80.672268907563023</v>
      </c>
      <c r="O139" s="421">
        <f>Tabela317[[#This Row],[TOTAL DE ALUNOS AVANÇADO]]/Tabela317[[#This Row],[TOTAL DE ALUNOS]]*100</f>
        <v>21.008403361344538</v>
      </c>
      <c r="P139" s="421">
        <f>Tabela317[[#This Row],[Avançado]]*4</f>
        <v>84.033613445378151</v>
      </c>
      <c r="Q139" s="421">
        <f t="shared" si="12"/>
        <v>245.37815126050418</v>
      </c>
      <c r="R139" s="455">
        <f>Tabela317[[#This Row],[Participação]]*100</f>
        <v>77.27000000000001</v>
      </c>
      <c r="S139" s="422">
        <f t="shared" si="15"/>
        <v>245.37815126050418</v>
      </c>
      <c r="T139" s="422">
        <f>Tabela317[[#This Row],[META 2024]]*0.65</f>
        <v>166.96608500000002</v>
      </c>
      <c r="U139" s="421">
        <v>256.87090000000001</v>
      </c>
      <c r="V139" s="422">
        <f t="shared" si="13"/>
        <v>0.87216759481129214</v>
      </c>
      <c r="W139" s="422">
        <f t="shared" si="16"/>
        <v>0.87216759481129214</v>
      </c>
    </row>
    <row r="140" spans="1:23">
      <c r="A140" s="456">
        <v>170</v>
      </c>
      <c r="B140" s="457" t="s">
        <v>18</v>
      </c>
      <c r="C140" s="418">
        <v>41</v>
      </c>
      <c r="D140" s="418">
        <v>48</v>
      </c>
      <c r="E140" s="418">
        <v>44</v>
      </c>
      <c r="F140" s="418">
        <v>51</v>
      </c>
      <c r="G140" s="454">
        <f t="shared" si="14"/>
        <v>184</v>
      </c>
      <c r="H140" s="420">
        <v>0.94359999999999999</v>
      </c>
      <c r="I140" s="421">
        <f>Tabela317[[#This Row],[TOTAL ALUNOS ABAIXO DO BASICO]]/Tabela317[[#This Row],[TOTAL DE ALUNOS]]*100</f>
        <v>22.282608695652172</v>
      </c>
      <c r="J140" s="421">
        <f>Tabela317[[#This Row],[Abaixo do Básico]]*1</f>
        <v>22.282608695652172</v>
      </c>
      <c r="K140" s="421">
        <f>Tabela317[[#This Row],[TOTAL ALUNOS DO BASICO]]/Tabela317[[#This Row],[TOTAL DE ALUNOS]]*100</f>
        <v>26.086956521739129</v>
      </c>
      <c r="L140" s="421">
        <f>Tabela317[[#This Row],[Básico]]*2</f>
        <v>52.173913043478258</v>
      </c>
      <c r="M140" s="421">
        <f>Tabela317[[#This Row],[TOTAL ALUNOS ADEQUADO]]/Tabela317[[#This Row],[TOTAL DE ALUNOS]]*100</f>
        <v>23.913043478260871</v>
      </c>
      <c r="N140" s="421">
        <f>Tabela317[[#This Row],[Adequado]]*3</f>
        <v>71.739130434782609</v>
      </c>
      <c r="O140" s="421">
        <f>Tabela317[[#This Row],[TOTAL DE ALUNOS AVANÇADO]]/Tabela317[[#This Row],[TOTAL DE ALUNOS]]*100</f>
        <v>27.717391304347828</v>
      </c>
      <c r="P140" s="421">
        <f>Tabela317[[#This Row],[Avançado]]*4</f>
        <v>110.86956521739131</v>
      </c>
      <c r="Q140" s="421">
        <f t="shared" si="12"/>
        <v>257.06521739130437</v>
      </c>
      <c r="R140" s="455">
        <f>Tabela317[[#This Row],[Participação]]*100</f>
        <v>94.36</v>
      </c>
      <c r="S140" s="422">
        <f t="shared" si="15"/>
        <v>257.06521739130437</v>
      </c>
      <c r="T140" s="422">
        <f>Tabela317[[#This Row],[META 2024]]*0.65</f>
        <v>152.95910499999999</v>
      </c>
      <c r="U140" s="421">
        <v>235.32169999999999</v>
      </c>
      <c r="V140" s="422">
        <f t="shared" si="13"/>
        <v>1.2639974783614381</v>
      </c>
      <c r="W140" s="422">
        <f t="shared" si="16"/>
        <v>1</v>
      </c>
    </row>
    <row r="141" spans="1:23">
      <c r="A141" s="456">
        <v>172</v>
      </c>
      <c r="B141" s="457" t="s">
        <v>87</v>
      </c>
      <c r="C141" s="418">
        <v>48</v>
      </c>
      <c r="D141" s="418">
        <v>45</v>
      </c>
      <c r="E141" s="418">
        <v>49</v>
      </c>
      <c r="F141" s="418">
        <v>31</v>
      </c>
      <c r="G141" s="454">
        <f t="shared" si="14"/>
        <v>173</v>
      </c>
      <c r="H141" s="420">
        <v>0.94540000000000002</v>
      </c>
      <c r="I141" s="421">
        <f>Tabela317[[#This Row],[TOTAL ALUNOS ABAIXO DO BASICO]]/Tabela317[[#This Row],[TOTAL DE ALUNOS]]*100</f>
        <v>27.74566473988439</v>
      </c>
      <c r="J141" s="421">
        <f>Tabela317[[#This Row],[Abaixo do Básico]]*1</f>
        <v>27.74566473988439</v>
      </c>
      <c r="K141" s="421">
        <f>Tabela317[[#This Row],[TOTAL ALUNOS DO BASICO]]/Tabela317[[#This Row],[TOTAL DE ALUNOS]]*100</f>
        <v>26.011560693641616</v>
      </c>
      <c r="L141" s="421">
        <f>Tabela317[[#This Row],[Básico]]*2</f>
        <v>52.023121387283233</v>
      </c>
      <c r="M141" s="421">
        <f>Tabela317[[#This Row],[TOTAL ALUNOS ADEQUADO]]/Tabela317[[#This Row],[TOTAL DE ALUNOS]]*100</f>
        <v>28.323699421965319</v>
      </c>
      <c r="N141" s="421">
        <f>Tabela317[[#This Row],[Adequado]]*3</f>
        <v>84.971098265895961</v>
      </c>
      <c r="O141" s="421">
        <f>Tabela317[[#This Row],[TOTAL DE ALUNOS AVANÇADO]]/Tabela317[[#This Row],[TOTAL DE ALUNOS]]*100</f>
        <v>17.919075144508671</v>
      </c>
      <c r="P141" s="421">
        <f>Tabela317[[#This Row],[Avançado]]*4</f>
        <v>71.676300578034684</v>
      </c>
      <c r="Q141" s="421">
        <f t="shared" si="12"/>
        <v>236.41618497109829</v>
      </c>
      <c r="R141" s="455">
        <f>Tabela317[[#This Row],[Participação]]*100</f>
        <v>94.54</v>
      </c>
      <c r="S141" s="422">
        <f t="shared" si="15"/>
        <v>236.41618497109829</v>
      </c>
      <c r="T141" s="422">
        <f>Tabela317[[#This Row],[META 2024]]*0.65</f>
        <v>160.38288499999999</v>
      </c>
      <c r="U141" s="421">
        <v>246.74289999999999</v>
      </c>
      <c r="V141" s="422">
        <f t="shared" si="13"/>
        <v>0.88042249611812018</v>
      </c>
      <c r="W141" s="422">
        <f t="shared" si="16"/>
        <v>0.88042249611812018</v>
      </c>
    </row>
    <row r="142" spans="1:23">
      <c r="A142" s="456">
        <v>179</v>
      </c>
      <c r="B142" s="457" t="s">
        <v>186</v>
      </c>
      <c r="C142" s="418">
        <v>33</v>
      </c>
      <c r="D142" s="418">
        <v>30</v>
      </c>
      <c r="E142" s="418">
        <v>21</v>
      </c>
      <c r="F142" s="418">
        <v>10</v>
      </c>
      <c r="G142" s="454">
        <f t="shared" si="14"/>
        <v>94</v>
      </c>
      <c r="H142" s="420">
        <v>0.94950000000000001</v>
      </c>
      <c r="I142" s="421">
        <f>Tabela317[[#This Row],[TOTAL ALUNOS ABAIXO DO BASICO]]/Tabela317[[#This Row],[TOTAL DE ALUNOS]]*100</f>
        <v>35.106382978723403</v>
      </c>
      <c r="J142" s="421">
        <f>Tabela317[[#This Row],[Abaixo do Básico]]*1</f>
        <v>35.106382978723403</v>
      </c>
      <c r="K142" s="421">
        <f>Tabela317[[#This Row],[TOTAL ALUNOS DO BASICO]]/Tabela317[[#This Row],[TOTAL DE ALUNOS]]*100</f>
        <v>31.914893617021278</v>
      </c>
      <c r="L142" s="421">
        <f>Tabela317[[#This Row],[Básico]]*2</f>
        <v>63.829787234042556</v>
      </c>
      <c r="M142" s="421">
        <f>Tabela317[[#This Row],[TOTAL ALUNOS ADEQUADO]]/Tabela317[[#This Row],[TOTAL DE ALUNOS]]*100</f>
        <v>22.340425531914892</v>
      </c>
      <c r="N142" s="421">
        <f>Tabela317[[#This Row],[Adequado]]*3</f>
        <v>67.021276595744681</v>
      </c>
      <c r="O142" s="421">
        <f>Tabela317[[#This Row],[TOTAL DE ALUNOS AVANÇADO]]/Tabela317[[#This Row],[TOTAL DE ALUNOS]]*100</f>
        <v>10.638297872340425</v>
      </c>
      <c r="P142" s="421">
        <f>Tabela317[[#This Row],[Avançado]]*4</f>
        <v>42.553191489361701</v>
      </c>
      <c r="Q142" s="421">
        <f t="shared" si="12"/>
        <v>208.51063829787233</v>
      </c>
      <c r="R142" s="455">
        <f>Tabela317[[#This Row],[Participação]]*100</f>
        <v>94.95</v>
      </c>
      <c r="S142" s="422">
        <f t="shared" si="15"/>
        <v>208.51063829787233</v>
      </c>
      <c r="T142" s="422">
        <f>Tabela317[[#This Row],[META 2024]]*0.65</f>
        <v>142.92531500000001</v>
      </c>
      <c r="U142" s="421">
        <v>219.88509999999999</v>
      </c>
      <c r="V142" s="422">
        <f t="shared" si="13"/>
        <v>0.85220252756517367</v>
      </c>
      <c r="W142" s="422">
        <f t="shared" si="16"/>
        <v>0.85220252756517367</v>
      </c>
    </row>
    <row r="143" spans="1:23">
      <c r="A143" s="456">
        <v>180</v>
      </c>
      <c r="B143" s="457" t="s">
        <v>167</v>
      </c>
      <c r="C143" s="418">
        <v>11</v>
      </c>
      <c r="D143" s="418">
        <v>7</v>
      </c>
      <c r="E143" s="418">
        <v>17</v>
      </c>
      <c r="F143" s="418">
        <v>16</v>
      </c>
      <c r="G143" s="454">
        <f t="shared" si="14"/>
        <v>51</v>
      </c>
      <c r="H143" s="420">
        <v>0.96230000000000004</v>
      </c>
      <c r="I143" s="421">
        <f>Tabela317[[#This Row],[TOTAL ALUNOS ABAIXO DO BASICO]]/Tabela317[[#This Row],[TOTAL DE ALUNOS]]*100</f>
        <v>21.568627450980394</v>
      </c>
      <c r="J143" s="421">
        <f>Tabela317[[#This Row],[Abaixo do Básico]]*1</f>
        <v>21.568627450980394</v>
      </c>
      <c r="K143" s="421">
        <f>Tabela317[[#This Row],[TOTAL ALUNOS DO BASICO]]/Tabela317[[#This Row],[TOTAL DE ALUNOS]]*100</f>
        <v>13.725490196078432</v>
      </c>
      <c r="L143" s="421">
        <f>Tabela317[[#This Row],[Básico]]*2</f>
        <v>27.450980392156865</v>
      </c>
      <c r="M143" s="421">
        <f>Tabela317[[#This Row],[TOTAL ALUNOS ADEQUADO]]/Tabela317[[#This Row],[TOTAL DE ALUNOS]]*100</f>
        <v>33.333333333333329</v>
      </c>
      <c r="N143" s="421">
        <f>Tabela317[[#This Row],[Adequado]]*3</f>
        <v>99.999999999999986</v>
      </c>
      <c r="O143" s="421">
        <f>Tabela317[[#This Row],[TOTAL DE ALUNOS AVANÇADO]]/Tabela317[[#This Row],[TOTAL DE ALUNOS]]*100</f>
        <v>31.372549019607842</v>
      </c>
      <c r="P143" s="421">
        <f>Tabela317[[#This Row],[Avançado]]*4</f>
        <v>125.49019607843137</v>
      </c>
      <c r="Q143" s="421">
        <f t="shared" si="12"/>
        <v>274.50980392156862</v>
      </c>
      <c r="R143" s="455">
        <f>Tabela317[[#This Row],[Participação]]*100</f>
        <v>96.23</v>
      </c>
      <c r="S143" s="422">
        <f t="shared" si="15"/>
        <v>274.50980392156862</v>
      </c>
      <c r="T143" s="422">
        <f>Tabela317[[#This Row],[META 2024]]*0.65</f>
        <v>190.18759499999999</v>
      </c>
      <c r="U143" s="421">
        <v>292.59629999999999</v>
      </c>
      <c r="V143" s="422">
        <f t="shared" si="13"/>
        <v>0.82338907538737682</v>
      </c>
      <c r="W143" s="422">
        <f t="shared" si="16"/>
        <v>0.82338907538737682</v>
      </c>
    </row>
    <row r="144" spans="1:23">
      <c r="A144" s="456">
        <v>181</v>
      </c>
      <c r="B144" s="457" t="s">
        <v>89</v>
      </c>
      <c r="C144" s="418">
        <v>17</v>
      </c>
      <c r="D144" s="418">
        <v>32</v>
      </c>
      <c r="E144" s="418">
        <v>26</v>
      </c>
      <c r="F144" s="418">
        <v>27</v>
      </c>
      <c r="G144" s="454">
        <f t="shared" si="14"/>
        <v>102</v>
      </c>
      <c r="H144" s="420">
        <v>0.89470000000000005</v>
      </c>
      <c r="I144" s="421">
        <f>Tabela317[[#This Row],[TOTAL ALUNOS ABAIXO DO BASICO]]/Tabela317[[#This Row],[TOTAL DE ALUNOS]]*100</f>
        <v>16.666666666666664</v>
      </c>
      <c r="J144" s="421">
        <f>Tabela317[[#This Row],[Abaixo do Básico]]*1</f>
        <v>16.666666666666664</v>
      </c>
      <c r="K144" s="421">
        <f>Tabela317[[#This Row],[TOTAL ALUNOS DO BASICO]]/Tabela317[[#This Row],[TOTAL DE ALUNOS]]*100</f>
        <v>31.372549019607842</v>
      </c>
      <c r="L144" s="421">
        <f>Tabela317[[#This Row],[Básico]]*2</f>
        <v>62.745098039215684</v>
      </c>
      <c r="M144" s="421">
        <f>Tabela317[[#This Row],[TOTAL ALUNOS ADEQUADO]]/Tabela317[[#This Row],[TOTAL DE ALUNOS]]*100</f>
        <v>25.490196078431371</v>
      </c>
      <c r="N144" s="421">
        <f>Tabela317[[#This Row],[Adequado]]*3</f>
        <v>76.470588235294116</v>
      </c>
      <c r="O144" s="421">
        <f>Tabela317[[#This Row],[TOTAL DE ALUNOS AVANÇADO]]/Tabela317[[#This Row],[TOTAL DE ALUNOS]]*100</f>
        <v>26.47058823529412</v>
      </c>
      <c r="P144" s="421">
        <f>Tabela317[[#This Row],[Avançado]]*4</f>
        <v>105.88235294117648</v>
      </c>
      <c r="Q144" s="421">
        <f t="shared" si="12"/>
        <v>261.76470588235293</v>
      </c>
      <c r="R144" s="455">
        <f>Tabela317[[#This Row],[Participação]]*100</f>
        <v>89.47</v>
      </c>
      <c r="S144" s="422">
        <f t="shared" si="15"/>
        <v>261.76470588235293</v>
      </c>
      <c r="T144" s="422">
        <f>Tabela317[[#This Row],[META 2024]]*0.65</f>
        <v>157.49649500000001</v>
      </c>
      <c r="U144" s="421">
        <v>242.3023</v>
      </c>
      <c r="V144" s="422">
        <f t="shared" si="13"/>
        <v>1.2294937932887133</v>
      </c>
      <c r="W144" s="422">
        <f t="shared" si="16"/>
        <v>1</v>
      </c>
    </row>
    <row r="145" spans="1:23">
      <c r="A145" s="456">
        <v>185</v>
      </c>
      <c r="B145" s="457" t="s">
        <v>162</v>
      </c>
      <c r="C145" s="418">
        <v>43</v>
      </c>
      <c r="D145" s="418">
        <v>37</v>
      </c>
      <c r="E145" s="418">
        <v>34</v>
      </c>
      <c r="F145" s="418">
        <v>37</v>
      </c>
      <c r="G145" s="454">
        <f t="shared" si="14"/>
        <v>151</v>
      </c>
      <c r="H145" s="420">
        <v>0.85799999999999998</v>
      </c>
      <c r="I145" s="421">
        <f>Tabela317[[#This Row],[TOTAL ALUNOS ABAIXO DO BASICO]]/Tabela317[[#This Row],[TOTAL DE ALUNOS]]*100</f>
        <v>28.476821192052981</v>
      </c>
      <c r="J145" s="421">
        <f>Tabela317[[#This Row],[Abaixo do Básico]]*1</f>
        <v>28.476821192052981</v>
      </c>
      <c r="K145" s="421">
        <f>Tabela317[[#This Row],[TOTAL ALUNOS DO BASICO]]/Tabela317[[#This Row],[TOTAL DE ALUNOS]]*100</f>
        <v>24.503311258278146</v>
      </c>
      <c r="L145" s="421">
        <f>Tabela317[[#This Row],[Básico]]*2</f>
        <v>49.006622516556291</v>
      </c>
      <c r="M145" s="421">
        <f>Tabela317[[#This Row],[TOTAL ALUNOS ADEQUADO]]/Tabela317[[#This Row],[TOTAL DE ALUNOS]]*100</f>
        <v>22.516556291390728</v>
      </c>
      <c r="N145" s="421">
        <f>Tabela317[[#This Row],[Adequado]]*3</f>
        <v>67.549668874172184</v>
      </c>
      <c r="O145" s="421">
        <f>Tabela317[[#This Row],[TOTAL DE ALUNOS AVANÇADO]]/Tabela317[[#This Row],[TOTAL DE ALUNOS]]*100</f>
        <v>24.503311258278146</v>
      </c>
      <c r="P145" s="421">
        <f>Tabela317[[#This Row],[Avançado]]*4</f>
        <v>98.013245033112582</v>
      </c>
      <c r="Q145" s="421">
        <f t="shared" si="12"/>
        <v>243.04635761589404</v>
      </c>
      <c r="R145" s="455">
        <f>Tabela317[[#This Row],[Participação]]*100</f>
        <v>85.8</v>
      </c>
      <c r="S145" s="422">
        <f t="shared" si="15"/>
        <v>243.04635761589404</v>
      </c>
      <c r="T145" s="422">
        <f>Tabela317[[#This Row],[META 2024]]*0.65</f>
        <v>143.021905</v>
      </c>
      <c r="U145" s="421">
        <v>220.03370000000001</v>
      </c>
      <c r="V145" s="422">
        <f t="shared" si="13"/>
        <v>1.2988199095462458</v>
      </c>
      <c r="W145" s="422">
        <f t="shared" si="16"/>
        <v>1</v>
      </c>
    </row>
    <row r="146" spans="1:23">
      <c r="A146" s="456">
        <v>186</v>
      </c>
      <c r="B146" s="457" t="s">
        <v>97</v>
      </c>
      <c r="C146" s="418">
        <v>34</v>
      </c>
      <c r="D146" s="418">
        <v>25</v>
      </c>
      <c r="E146" s="418">
        <v>26</v>
      </c>
      <c r="F146" s="418">
        <v>23</v>
      </c>
      <c r="G146" s="454">
        <f t="shared" si="14"/>
        <v>108</v>
      </c>
      <c r="H146" s="420">
        <v>0.878</v>
      </c>
      <c r="I146" s="421">
        <f>Tabela317[[#This Row],[TOTAL ALUNOS ABAIXO DO BASICO]]/Tabela317[[#This Row],[TOTAL DE ALUNOS]]*100</f>
        <v>31.481481481481481</v>
      </c>
      <c r="J146" s="421">
        <f>Tabela317[[#This Row],[Abaixo do Básico]]*1</f>
        <v>31.481481481481481</v>
      </c>
      <c r="K146" s="421">
        <f>Tabela317[[#This Row],[TOTAL ALUNOS DO BASICO]]/Tabela317[[#This Row],[TOTAL DE ALUNOS]]*100</f>
        <v>23.148148148148149</v>
      </c>
      <c r="L146" s="421">
        <f>Tabela317[[#This Row],[Básico]]*2</f>
        <v>46.296296296296298</v>
      </c>
      <c r="M146" s="421">
        <f>Tabela317[[#This Row],[TOTAL ALUNOS ADEQUADO]]/Tabela317[[#This Row],[TOTAL DE ALUNOS]]*100</f>
        <v>24.074074074074073</v>
      </c>
      <c r="N146" s="421">
        <f>Tabela317[[#This Row],[Adequado]]*3</f>
        <v>72.222222222222214</v>
      </c>
      <c r="O146" s="421">
        <f>Tabela317[[#This Row],[TOTAL DE ALUNOS AVANÇADO]]/Tabela317[[#This Row],[TOTAL DE ALUNOS]]*100</f>
        <v>21.296296296296298</v>
      </c>
      <c r="P146" s="421">
        <f>Tabela317[[#This Row],[Avançado]]*4</f>
        <v>85.18518518518519</v>
      </c>
      <c r="Q146" s="421">
        <f t="shared" si="12"/>
        <v>235.18518518518519</v>
      </c>
      <c r="R146" s="455">
        <f>Tabela317[[#This Row],[Participação]]*100</f>
        <v>87.8</v>
      </c>
      <c r="S146" s="422">
        <f t="shared" si="15"/>
        <v>235.18518518518519</v>
      </c>
      <c r="T146" s="422">
        <f>Tabela317[[#This Row],[META 2024]]*0.65</f>
        <v>156.61535499999999</v>
      </c>
      <c r="U146" s="421">
        <v>240.94669999999999</v>
      </c>
      <c r="V146" s="422">
        <f t="shared" si="13"/>
        <v>0.93168003172705471</v>
      </c>
      <c r="W146" s="422">
        <f t="shared" si="16"/>
        <v>0.93168003172705471</v>
      </c>
    </row>
    <row r="147" spans="1:23">
      <c r="A147" s="456">
        <v>187</v>
      </c>
      <c r="B147" s="457" t="s">
        <v>51</v>
      </c>
      <c r="C147" s="418">
        <v>37</v>
      </c>
      <c r="D147" s="418">
        <v>36</v>
      </c>
      <c r="E147" s="418">
        <v>38</v>
      </c>
      <c r="F147" s="418">
        <v>21</v>
      </c>
      <c r="G147" s="454">
        <f t="shared" si="14"/>
        <v>132</v>
      </c>
      <c r="H147" s="420">
        <v>0.86270000000000002</v>
      </c>
      <c r="I147" s="421">
        <f>Tabela317[[#This Row],[TOTAL ALUNOS ABAIXO DO BASICO]]/Tabela317[[#This Row],[TOTAL DE ALUNOS]]*100</f>
        <v>28.030303030303028</v>
      </c>
      <c r="J147" s="421">
        <f>Tabela317[[#This Row],[Abaixo do Básico]]*1</f>
        <v>28.030303030303028</v>
      </c>
      <c r="K147" s="421">
        <f>Tabela317[[#This Row],[TOTAL ALUNOS DO BASICO]]/Tabela317[[#This Row],[TOTAL DE ALUNOS]]*100</f>
        <v>27.27272727272727</v>
      </c>
      <c r="L147" s="421">
        <f>Tabela317[[#This Row],[Básico]]*2</f>
        <v>54.54545454545454</v>
      </c>
      <c r="M147" s="421">
        <f>Tabela317[[#This Row],[TOTAL ALUNOS ADEQUADO]]/Tabela317[[#This Row],[TOTAL DE ALUNOS]]*100</f>
        <v>28.787878787878789</v>
      </c>
      <c r="N147" s="421">
        <f>Tabela317[[#This Row],[Adequado]]*3</f>
        <v>86.363636363636374</v>
      </c>
      <c r="O147" s="421">
        <f>Tabela317[[#This Row],[TOTAL DE ALUNOS AVANÇADO]]/Tabela317[[#This Row],[TOTAL DE ALUNOS]]*100</f>
        <v>15.909090909090908</v>
      </c>
      <c r="P147" s="421">
        <f>Tabela317[[#This Row],[Avançado]]*4</f>
        <v>63.636363636363633</v>
      </c>
      <c r="Q147" s="421">
        <f t="shared" si="12"/>
        <v>232.57575757575756</v>
      </c>
      <c r="R147" s="455">
        <f>Tabela317[[#This Row],[Participação]]*100</f>
        <v>86.27</v>
      </c>
      <c r="S147" s="422">
        <f t="shared" si="15"/>
        <v>232.57575757575756</v>
      </c>
      <c r="T147" s="422">
        <f>Tabela317[[#This Row],[META 2024]]*0.65</f>
        <v>181.69007999999999</v>
      </c>
      <c r="U147" s="421">
        <v>279.52319999999997</v>
      </c>
      <c r="V147" s="422">
        <f t="shared" si="13"/>
        <v>0.52012731042164018</v>
      </c>
      <c r="W147" s="422">
        <f t="shared" si="16"/>
        <v>0.52012731042164018</v>
      </c>
    </row>
    <row r="148" spans="1:23">
      <c r="A148" s="456">
        <v>188</v>
      </c>
      <c r="B148" s="457" t="s">
        <v>7</v>
      </c>
      <c r="C148" s="418">
        <v>45</v>
      </c>
      <c r="D148" s="418">
        <v>50</v>
      </c>
      <c r="E148" s="418">
        <v>37</v>
      </c>
      <c r="F148" s="418">
        <v>24</v>
      </c>
      <c r="G148" s="454">
        <f t="shared" si="14"/>
        <v>156</v>
      </c>
      <c r="H148" s="420">
        <v>0.64459999999999995</v>
      </c>
      <c r="I148" s="421">
        <f>Tabela317[[#This Row],[TOTAL ALUNOS ABAIXO DO BASICO]]/Tabela317[[#This Row],[TOTAL DE ALUNOS]]*100</f>
        <v>28.846153846153843</v>
      </c>
      <c r="J148" s="421">
        <f>Tabela317[[#This Row],[Abaixo do Básico]]*1</f>
        <v>28.846153846153843</v>
      </c>
      <c r="K148" s="421">
        <f>Tabela317[[#This Row],[TOTAL ALUNOS DO BASICO]]/Tabela317[[#This Row],[TOTAL DE ALUNOS]]*100</f>
        <v>32.051282051282051</v>
      </c>
      <c r="L148" s="421">
        <f>Tabela317[[#This Row],[Básico]]*2</f>
        <v>64.102564102564102</v>
      </c>
      <c r="M148" s="421">
        <f>Tabela317[[#This Row],[TOTAL ALUNOS ADEQUADO]]/Tabela317[[#This Row],[TOTAL DE ALUNOS]]*100</f>
        <v>23.717948717948715</v>
      </c>
      <c r="N148" s="421">
        <f>Tabela317[[#This Row],[Adequado]]*3</f>
        <v>71.153846153846146</v>
      </c>
      <c r="O148" s="421">
        <f>Tabela317[[#This Row],[TOTAL DE ALUNOS AVANÇADO]]/Tabela317[[#This Row],[TOTAL DE ALUNOS]]*100</f>
        <v>15.384615384615385</v>
      </c>
      <c r="P148" s="421">
        <f>Tabela317[[#This Row],[Avançado]]*4</f>
        <v>61.53846153846154</v>
      </c>
      <c r="Q148" s="421">
        <f t="shared" si="12"/>
        <v>225.64102564102564</v>
      </c>
      <c r="R148" s="455">
        <f>Tabela317[[#This Row],[Participação]]*100</f>
        <v>64.459999999999994</v>
      </c>
      <c r="S148" s="422">
        <f t="shared" si="15"/>
        <v>225.64102564102564</v>
      </c>
      <c r="T148" s="422">
        <f>Tabela317[[#This Row],[META 2024]]*0.65</f>
        <v>154.18071499999999</v>
      </c>
      <c r="U148" s="421">
        <v>237.2011</v>
      </c>
      <c r="V148" s="422">
        <f t="shared" si="13"/>
        <v>0.86075619428921746</v>
      </c>
      <c r="W148" s="422">
        <f t="shared" si="16"/>
        <v>0.86075619428921746</v>
      </c>
    </row>
    <row r="149" spans="1:23">
      <c r="A149" s="456">
        <v>190</v>
      </c>
      <c r="B149" s="457" t="s">
        <v>113</v>
      </c>
      <c r="C149" s="418">
        <v>21</v>
      </c>
      <c r="D149" s="418">
        <v>40</v>
      </c>
      <c r="E149" s="418">
        <v>52</v>
      </c>
      <c r="F149" s="418">
        <v>33</v>
      </c>
      <c r="G149" s="454">
        <f t="shared" si="14"/>
        <v>146</v>
      </c>
      <c r="H149" s="420">
        <v>0.96050000000000002</v>
      </c>
      <c r="I149" s="421">
        <f>Tabela317[[#This Row],[TOTAL ALUNOS ABAIXO DO BASICO]]/Tabela317[[#This Row],[TOTAL DE ALUNOS]]*100</f>
        <v>14.383561643835616</v>
      </c>
      <c r="J149" s="421">
        <f>Tabela317[[#This Row],[Abaixo do Básico]]*1</f>
        <v>14.383561643835616</v>
      </c>
      <c r="K149" s="421">
        <f>Tabela317[[#This Row],[TOTAL ALUNOS DO BASICO]]/Tabela317[[#This Row],[TOTAL DE ALUNOS]]*100</f>
        <v>27.397260273972602</v>
      </c>
      <c r="L149" s="421">
        <f>Tabela317[[#This Row],[Básico]]*2</f>
        <v>54.794520547945204</v>
      </c>
      <c r="M149" s="421">
        <f>Tabela317[[#This Row],[TOTAL ALUNOS ADEQUADO]]/Tabela317[[#This Row],[TOTAL DE ALUNOS]]*100</f>
        <v>35.61643835616438</v>
      </c>
      <c r="N149" s="421">
        <f>Tabela317[[#This Row],[Adequado]]*3</f>
        <v>106.84931506849314</v>
      </c>
      <c r="O149" s="421">
        <f>Tabela317[[#This Row],[TOTAL DE ALUNOS AVANÇADO]]/Tabela317[[#This Row],[TOTAL DE ALUNOS]]*100</f>
        <v>22.602739726027394</v>
      </c>
      <c r="P149" s="421">
        <f>Tabela317[[#This Row],[Avançado]]*4</f>
        <v>90.410958904109577</v>
      </c>
      <c r="Q149" s="421">
        <f t="shared" si="12"/>
        <v>266.43835616438355</v>
      </c>
      <c r="R149" s="455">
        <f>Tabela317[[#This Row],[Participação]]*100</f>
        <v>96.05</v>
      </c>
      <c r="S149" s="422">
        <f t="shared" si="15"/>
        <v>266.43835616438355</v>
      </c>
      <c r="T149" s="422">
        <f>Tabela317[[#This Row],[META 2024]]*0.65</f>
        <v>172.753165</v>
      </c>
      <c r="U149" s="421">
        <v>265.77409999999998</v>
      </c>
      <c r="V149" s="422">
        <f t="shared" si="13"/>
        <v>1.0071409319244489</v>
      </c>
      <c r="W149" s="422">
        <f t="shared" si="16"/>
        <v>1</v>
      </c>
    </row>
    <row r="150" spans="1:23">
      <c r="A150" s="456">
        <v>191</v>
      </c>
      <c r="B150" s="457" t="s">
        <v>34</v>
      </c>
      <c r="C150" s="418">
        <v>35</v>
      </c>
      <c r="D150" s="418">
        <v>29</v>
      </c>
      <c r="E150" s="418">
        <v>31</v>
      </c>
      <c r="F150" s="418">
        <v>13</v>
      </c>
      <c r="G150" s="454">
        <f t="shared" si="14"/>
        <v>108</v>
      </c>
      <c r="H150" s="420">
        <v>1</v>
      </c>
      <c r="I150" s="421">
        <f>Tabela317[[#This Row],[TOTAL ALUNOS ABAIXO DO BASICO]]/Tabela317[[#This Row],[TOTAL DE ALUNOS]]*100</f>
        <v>32.407407407407405</v>
      </c>
      <c r="J150" s="421">
        <f>Tabela317[[#This Row],[Abaixo do Básico]]*1</f>
        <v>32.407407407407405</v>
      </c>
      <c r="K150" s="421">
        <f>Tabela317[[#This Row],[TOTAL ALUNOS DO BASICO]]/Tabela317[[#This Row],[TOTAL DE ALUNOS]]*100</f>
        <v>26.851851851851855</v>
      </c>
      <c r="L150" s="421">
        <f>Tabela317[[#This Row],[Básico]]*2</f>
        <v>53.703703703703709</v>
      </c>
      <c r="M150" s="421">
        <f>Tabela317[[#This Row],[TOTAL ALUNOS ADEQUADO]]/Tabela317[[#This Row],[TOTAL DE ALUNOS]]*100</f>
        <v>28.703703703703702</v>
      </c>
      <c r="N150" s="421">
        <f>Tabela317[[#This Row],[Adequado]]*3</f>
        <v>86.111111111111114</v>
      </c>
      <c r="O150" s="421">
        <f>Tabela317[[#This Row],[TOTAL DE ALUNOS AVANÇADO]]/Tabela317[[#This Row],[TOTAL DE ALUNOS]]*100</f>
        <v>12.037037037037036</v>
      </c>
      <c r="P150" s="421">
        <f>Tabela317[[#This Row],[Avançado]]*4</f>
        <v>48.148148148148145</v>
      </c>
      <c r="Q150" s="421">
        <f t="shared" si="12"/>
        <v>220.37037037037038</v>
      </c>
      <c r="R150" s="455">
        <f>Tabela317[[#This Row],[Participação]]*100</f>
        <v>100</v>
      </c>
      <c r="S150" s="422">
        <f t="shared" si="15"/>
        <v>220.37037037037038</v>
      </c>
      <c r="T150" s="422">
        <f>Tabela317[[#This Row],[META 2024]]*0.65</f>
        <v>143.73417500000002</v>
      </c>
      <c r="U150" s="421">
        <v>221.12950000000001</v>
      </c>
      <c r="V150" s="422">
        <f t="shared" si="13"/>
        <v>0.9901915312116123</v>
      </c>
      <c r="W150" s="422">
        <f t="shared" si="16"/>
        <v>0.9901915312116123</v>
      </c>
    </row>
    <row r="151" spans="1:23">
      <c r="A151" s="456">
        <v>193</v>
      </c>
      <c r="B151" s="457" t="s">
        <v>132</v>
      </c>
      <c r="C151" s="418">
        <v>30</v>
      </c>
      <c r="D151" s="418">
        <v>32</v>
      </c>
      <c r="E151" s="418">
        <v>26</v>
      </c>
      <c r="F151" s="418">
        <v>21</v>
      </c>
      <c r="G151" s="454">
        <f t="shared" si="14"/>
        <v>109</v>
      </c>
      <c r="H151" s="420">
        <v>0.93969999999999998</v>
      </c>
      <c r="I151" s="421">
        <f>Tabela317[[#This Row],[TOTAL ALUNOS ABAIXO DO BASICO]]/Tabela317[[#This Row],[TOTAL DE ALUNOS]]*100</f>
        <v>27.522935779816514</v>
      </c>
      <c r="J151" s="421">
        <f>Tabela317[[#This Row],[Abaixo do Básico]]*1</f>
        <v>27.522935779816514</v>
      </c>
      <c r="K151" s="421">
        <f>Tabela317[[#This Row],[TOTAL ALUNOS DO BASICO]]/Tabela317[[#This Row],[TOTAL DE ALUNOS]]*100</f>
        <v>29.357798165137616</v>
      </c>
      <c r="L151" s="421">
        <f>Tabela317[[#This Row],[Básico]]*2</f>
        <v>58.715596330275233</v>
      </c>
      <c r="M151" s="421">
        <f>Tabela317[[#This Row],[TOTAL ALUNOS ADEQUADO]]/Tabela317[[#This Row],[TOTAL DE ALUNOS]]*100</f>
        <v>23.853211009174313</v>
      </c>
      <c r="N151" s="421">
        <f>Tabela317[[#This Row],[Adequado]]*3</f>
        <v>71.559633027522935</v>
      </c>
      <c r="O151" s="421">
        <f>Tabela317[[#This Row],[TOTAL DE ALUNOS AVANÇADO]]/Tabela317[[#This Row],[TOTAL DE ALUNOS]]*100</f>
        <v>19.26605504587156</v>
      </c>
      <c r="P151" s="421">
        <f>Tabela317[[#This Row],[Avançado]]*4</f>
        <v>77.064220183486242</v>
      </c>
      <c r="Q151" s="421">
        <f t="shared" si="12"/>
        <v>234.8623853211009</v>
      </c>
      <c r="R151" s="455">
        <f>Tabela317[[#This Row],[Participação]]*100</f>
        <v>93.97</v>
      </c>
      <c r="S151" s="422">
        <f t="shared" si="15"/>
        <v>234.8623853211009</v>
      </c>
      <c r="T151" s="422">
        <f>Tabela317[[#This Row],[META 2024]]*0.65</f>
        <v>168.90432000000001</v>
      </c>
      <c r="U151" s="421">
        <v>259.8528</v>
      </c>
      <c r="V151" s="422">
        <f t="shared" si="13"/>
        <v>0.72522449326366867</v>
      </c>
      <c r="W151" s="422">
        <f t="shared" si="16"/>
        <v>0.72522449326366867</v>
      </c>
    </row>
    <row r="152" spans="1:23">
      <c r="A152" s="456">
        <v>194</v>
      </c>
      <c r="B152" s="457" t="s">
        <v>99</v>
      </c>
      <c r="C152" s="418">
        <v>14</v>
      </c>
      <c r="D152" s="418">
        <v>18</v>
      </c>
      <c r="E152" s="418">
        <v>20</v>
      </c>
      <c r="F152" s="418">
        <v>19</v>
      </c>
      <c r="G152" s="454">
        <f t="shared" si="14"/>
        <v>71</v>
      </c>
      <c r="H152" s="420">
        <v>0.94669999999999999</v>
      </c>
      <c r="I152" s="421">
        <f>Tabela317[[#This Row],[TOTAL ALUNOS ABAIXO DO BASICO]]/Tabela317[[#This Row],[TOTAL DE ALUNOS]]*100</f>
        <v>19.718309859154928</v>
      </c>
      <c r="J152" s="421">
        <f>Tabela317[[#This Row],[Abaixo do Básico]]*1</f>
        <v>19.718309859154928</v>
      </c>
      <c r="K152" s="421">
        <f>Tabela317[[#This Row],[TOTAL ALUNOS DO BASICO]]/Tabela317[[#This Row],[TOTAL DE ALUNOS]]*100</f>
        <v>25.352112676056336</v>
      </c>
      <c r="L152" s="421">
        <f>Tabela317[[#This Row],[Básico]]*2</f>
        <v>50.704225352112672</v>
      </c>
      <c r="M152" s="421">
        <f>Tabela317[[#This Row],[TOTAL ALUNOS ADEQUADO]]/Tabela317[[#This Row],[TOTAL DE ALUNOS]]*100</f>
        <v>28.169014084507044</v>
      </c>
      <c r="N152" s="421">
        <f>Tabela317[[#This Row],[Adequado]]*3</f>
        <v>84.507042253521135</v>
      </c>
      <c r="O152" s="421">
        <f>Tabela317[[#This Row],[TOTAL DE ALUNOS AVANÇADO]]/Tabela317[[#This Row],[TOTAL DE ALUNOS]]*100</f>
        <v>26.760563380281688</v>
      </c>
      <c r="P152" s="421">
        <f>Tabela317[[#This Row],[Avançado]]*4</f>
        <v>107.04225352112675</v>
      </c>
      <c r="Q152" s="421">
        <f t="shared" si="12"/>
        <v>261.97183098591552</v>
      </c>
      <c r="R152" s="455">
        <f>Tabela317[[#This Row],[Participação]]*100</f>
        <v>94.67</v>
      </c>
      <c r="S152" s="422">
        <f t="shared" si="15"/>
        <v>261.97183098591552</v>
      </c>
      <c r="T152" s="422">
        <f>Tabela317[[#This Row],[META 2024]]*0.65</f>
        <v>192.05095000000003</v>
      </c>
      <c r="U152" s="421">
        <v>295.46300000000002</v>
      </c>
      <c r="V152" s="422">
        <f t="shared" si="13"/>
        <v>0.67613862200696628</v>
      </c>
      <c r="W152" s="422">
        <f t="shared" si="16"/>
        <v>0.67613862200696628</v>
      </c>
    </row>
    <row r="153" spans="1:23">
      <c r="A153" s="456">
        <v>195</v>
      </c>
      <c r="B153" s="457" t="s">
        <v>143</v>
      </c>
      <c r="C153" s="418">
        <v>19</v>
      </c>
      <c r="D153" s="418">
        <v>24</v>
      </c>
      <c r="E153" s="418">
        <v>42</v>
      </c>
      <c r="F153" s="418">
        <v>26</v>
      </c>
      <c r="G153" s="454">
        <f t="shared" si="14"/>
        <v>111</v>
      </c>
      <c r="H153" s="420">
        <v>0.98229999999999995</v>
      </c>
      <c r="I153" s="421">
        <f>Tabela317[[#This Row],[TOTAL ALUNOS ABAIXO DO BASICO]]/Tabela317[[#This Row],[TOTAL DE ALUNOS]]*100</f>
        <v>17.117117117117118</v>
      </c>
      <c r="J153" s="421">
        <f>Tabela317[[#This Row],[Abaixo do Básico]]*1</f>
        <v>17.117117117117118</v>
      </c>
      <c r="K153" s="421">
        <f>Tabela317[[#This Row],[TOTAL ALUNOS DO BASICO]]/Tabela317[[#This Row],[TOTAL DE ALUNOS]]*100</f>
        <v>21.621621621621621</v>
      </c>
      <c r="L153" s="421">
        <f>Tabela317[[#This Row],[Básico]]*2</f>
        <v>43.243243243243242</v>
      </c>
      <c r="M153" s="421">
        <f>Tabela317[[#This Row],[TOTAL ALUNOS ADEQUADO]]/Tabela317[[#This Row],[TOTAL DE ALUNOS]]*100</f>
        <v>37.837837837837839</v>
      </c>
      <c r="N153" s="421">
        <f>Tabela317[[#This Row],[Adequado]]*3</f>
        <v>113.51351351351352</v>
      </c>
      <c r="O153" s="421">
        <f>Tabela317[[#This Row],[TOTAL DE ALUNOS AVANÇADO]]/Tabela317[[#This Row],[TOTAL DE ALUNOS]]*100</f>
        <v>23.423423423423422</v>
      </c>
      <c r="P153" s="421">
        <f>Tabela317[[#This Row],[Avançado]]*4</f>
        <v>93.693693693693689</v>
      </c>
      <c r="Q153" s="421">
        <f t="shared" si="12"/>
        <v>267.56756756756761</v>
      </c>
      <c r="R153" s="455">
        <f>Tabela317[[#This Row],[Participação]]*100</f>
        <v>98.22999999999999</v>
      </c>
      <c r="S153" s="422">
        <f t="shared" si="15"/>
        <v>267.56756756756761</v>
      </c>
      <c r="T153" s="422">
        <f>Tabela317[[#This Row],[META 2024]]*0.65</f>
        <v>180.88642000000002</v>
      </c>
      <c r="U153" s="421">
        <v>278.28680000000003</v>
      </c>
      <c r="V153" s="422">
        <f t="shared" si="13"/>
        <v>0.88994670829382372</v>
      </c>
      <c r="W153" s="422">
        <f t="shared" si="16"/>
        <v>0.88994670829382372</v>
      </c>
    </row>
    <row r="154" spans="1:23">
      <c r="A154" s="456">
        <v>197</v>
      </c>
      <c r="B154" s="457" t="s">
        <v>173</v>
      </c>
      <c r="C154" s="418">
        <v>48</v>
      </c>
      <c r="D154" s="418">
        <v>23</v>
      </c>
      <c r="E154" s="418">
        <v>30</v>
      </c>
      <c r="F154" s="418">
        <v>19</v>
      </c>
      <c r="G154" s="454">
        <f t="shared" si="14"/>
        <v>120</v>
      </c>
      <c r="H154" s="420">
        <v>0.90229999999999999</v>
      </c>
      <c r="I154" s="421">
        <f>Tabela317[[#This Row],[TOTAL ALUNOS ABAIXO DO BASICO]]/Tabela317[[#This Row],[TOTAL DE ALUNOS]]*100</f>
        <v>40</v>
      </c>
      <c r="J154" s="421">
        <f>Tabela317[[#This Row],[Abaixo do Básico]]*1</f>
        <v>40</v>
      </c>
      <c r="K154" s="421">
        <f>Tabela317[[#This Row],[TOTAL ALUNOS DO BASICO]]/Tabela317[[#This Row],[TOTAL DE ALUNOS]]*100</f>
        <v>19.166666666666668</v>
      </c>
      <c r="L154" s="421">
        <f>Tabela317[[#This Row],[Básico]]*2</f>
        <v>38.333333333333336</v>
      </c>
      <c r="M154" s="421">
        <f>Tabela317[[#This Row],[TOTAL ALUNOS ADEQUADO]]/Tabela317[[#This Row],[TOTAL DE ALUNOS]]*100</f>
        <v>25</v>
      </c>
      <c r="N154" s="421">
        <f>Tabela317[[#This Row],[Adequado]]*3</f>
        <v>75</v>
      </c>
      <c r="O154" s="421">
        <f>Tabela317[[#This Row],[TOTAL DE ALUNOS AVANÇADO]]/Tabela317[[#This Row],[TOTAL DE ALUNOS]]*100</f>
        <v>15.833333333333332</v>
      </c>
      <c r="P154" s="421">
        <f>Tabela317[[#This Row],[Avançado]]*4</f>
        <v>63.333333333333329</v>
      </c>
      <c r="Q154" s="421">
        <f t="shared" si="12"/>
        <v>216.66666666666669</v>
      </c>
      <c r="R154" s="455">
        <f>Tabela317[[#This Row],[Participação]]*100</f>
        <v>90.23</v>
      </c>
      <c r="S154" s="422">
        <f t="shared" si="15"/>
        <v>216.66666666666669</v>
      </c>
      <c r="T154" s="422">
        <f>Tabela317[[#This Row],[META 2024]]*0.65</f>
        <v>143.90571000000003</v>
      </c>
      <c r="U154" s="421">
        <v>221.39340000000001</v>
      </c>
      <c r="V154" s="422">
        <f t="shared" si="13"/>
        <v>0.93900020334412693</v>
      </c>
      <c r="W154" s="422">
        <f t="shared" si="16"/>
        <v>0.93900020334412693</v>
      </c>
    </row>
    <row r="155" spans="1:23">
      <c r="A155" s="456">
        <v>198</v>
      </c>
      <c r="B155" s="457" t="s">
        <v>67</v>
      </c>
      <c r="C155" s="418">
        <v>35</v>
      </c>
      <c r="D155" s="418">
        <v>28</v>
      </c>
      <c r="E155" s="418">
        <v>30</v>
      </c>
      <c r="F155" s="418">
        <v>16</v>
      </c>
      <c r="G155" s="454">
        <f t="shared" si="14"/>
        <v>109</v>
      </c>
      <c r="H155" s="420">
        <v>0.872</v>
      </c>
      <c r="I155" s="421">
        <f>Tabela317[[#This Row],[TOTAL ALUNOS ABAIXO DO BASICO]]/Tabela317[[#This Row],[TOTAL DE ALUNOS]]*100</f>
        <v>32.11009174311927</v>
      </c>
      <c r="J155" s="421">
        <f>Tabela317[[#This Row],[Abaixo do Básico]]*1</f>
        <v>32.11009174311927</v>
      </c>
      <c r="K155" s="421">
        <f>Tabela317[[#This Row],[TOTAL ALUNOS DO BASICO]]/Tabela317[[#This Row],[TOTAL DE ALUNOS]]*100</f>
        <v>25.688073394495415</v>
      </c>
      <c r="L155" s="421">
        <f>Tabela317[[#This Row],[Básico]]*2</f>
        <v>51.37614678899083</v>
      </c>
      <c r="M155" s="421">
        <f>Tabela317[[#This Row],[TOTAL ALUNOS ADEQUADO]]/Tabela317[[#This Row],[TOTAL DE ALUNOS]]*100</f>
        <v>27.522935779816514</v>
      </c>
      <c r="N155" s="421">
        <f>Tabela317[[#This Row],[Adequado]]*3</f>
        <v>82.568807339449535</v>
      </c>
      <c r="O155" s="421">
        <f>Tabela317[[#This Row],[TOTAL DE ALUNOS AVANÇADO]]/Tabela317[[#This Row],[TOTAL DE ALUNOS]]*100</f>
        <v>14.678899082568808</v>
      </c>
      <c r="P155" s="421">
        <f>Tabela317[[#This Row],[Avançado]]*4</f>
        <v>58.715596330275233</v>
      </c>
      <c r="Q155" s="421">
        <f t="shared" si="12"/>
        <v>224.77064220183485</v>
      </c>
      <c r="R155" s="455">
        <f>Tabela317[[#This Row],[Participação]]*100</f>
        <v>87.2</v>
      </c>
      <c r="S155" s="422">
        <f t="shared" si="15"/>
        <v>224.77064220183485</v>
      </c>
      <c r="T155" s="422">
        <f>Tabela317[[#This Row],[META 2024]]*0.65</f>
        <v>159.2903</v>
      </c>
      <c r="U155" s="421">
        <v>245.06200000000001</v>
      </c>
      <c r="V155" s="422">
        <f t="shared" si="13"/>
        <v>0.76342595753418474</v>
      </c>
      <c r="W155" s="422">
        <f t="shared" si="16"/>
        <v>0.76342595753418474</v>
      </c>
    </row>
    <row r="156" spans="1:23">
      <c r="A156" s="456">
        <v>199</v>
      </c>
      <c r="B156" s="457" t="s">
        <v>19</v>
      </c>
      <c r="C156" s="418">
        <v>62</v>
      </c>
      <c r="D156" s="418">
        <v>69</v>
      </c>
      <c r="E156" s="418">
        <v>54</v>
      </c>
      <c r="F156" s="418">
        <v>38</v>
      </c>
      <c r="G156" s="454">
        <f t="shared" si="14"/>
        <v>223</v>
      </c>
      <c r="H156" s="420">
        <v>0.96120000000000005</v>
      </c>
      <c r="I156" s="421">
        <f>Tabela317[[#This Row],[TOTAL ALUNOS ABAIXO DO BASICO]]/Tabela317[[#This Row],[TOTAL DE ALUNOS]]*100</f>
        <v>27.802690582959645</v>
      </c>
      <c r="J156" s="421">
        <f>Tabela317[[#This Row],[Abaixo do Básico]]*1</f>
        <v>27.802690582959645</v>
      </c>
      <c r="K156" s="421">
        <f>Tabela317[[#This Row],[TOTAL ALUNOS DO BASICO]]/Tabela317[[#This Row],[TOTAL DE ALUNOS]]*100</f>
        <v>30.941704035874441</v>
      </c>
      <c r="L156" s="421">
        <f>Tabela317[[#This Row],[Básico]]*2</f>
        <v>61.883408071748882</v>
      </c>
      <c r="M156" s="421">
        <f>Tabela317[[#This Row],[TOTAL ALUNOS ADEQUADO]]/Tabela317[[#This Row],[TOTAL DE ALUNOS]]*100</f>
        <v>24.215246636771301</v>
      </c>
      <c r="N156" s="421">
        <f>Tabela317[[#This Row],[Adequado]]*3</f>
        <v>72.645739910313907</v>
      </c>
      <c r="O156" s="421">
        <f>Tabela317[[#This Row],[TOTAL DE ALUNOS AVANÇADO]]/Tabela317[[#This Row],[TOTAL DE ALUNOS]]*100</f>
        <v>17.040358744394617</v>
      </c>
      <c r="P156" s="421">
        <f>Tabela317[[#This Row],[Avançado]]*4</f>
        <v>68.161434977578466</v>
      </c>
      <c r="Q156" s="421">
        <f t="shared" si="12"/>
        <v>230.49327354260092</v>
      </c>
      <c r="R156" s="455">
        <f>Tabela317[[#This Row],[Participação]]*100</f>
        <v>96.12</v>
      </c>
      <c r="S156" s="422">
        <f t="shared" si="15"/>
        <v>230.49327354260092</v>
      </c>
      <c r="T156" s="422">
        <f>Tabela317[[#This Row],[META 2024]]*0.65</f>
        <v>153.67755</v>
      </c>
      <c r="U156" s="421">
        <v>236.42699999999999</v>
      </c>
      <c r="V156" s="422">
        <f t="shared" si="13"/>
        <v>0.92829285925889449</v>
      </c>
      <c r="W156" s="422">
        <f t="shared" si="16"/>
        <v>0.92829285925889449</v>
      </c>
    </row>
    <row r="157" spans="1:23">
      <c r="A157" s="456">
        <v>200</v>
      </c>
      <c r="B157" s="457" t="s">
        <v>134</v>
      </c>
      <c r="C157" s="418">
        <v>26</v>
      </c>
      <c r="D157" s="418">
        <v>41</v>
      </c>
      <c r="E157" s="418">
        <v>47</v>
      </c>
      <c r="F157" s="418">
        <v>35</v>
      </c>
      <c r="G157" s="454">
        <f t="shared" si="14"/>
        <v>149</v>
      </c>
      <c r="H157" s="420">
        <v>0.89759999999999995</v>
      </c>
      <c r="I157" s="421">
        <f>Tabela317[[#This Row],[TOTAL ALUNOS ABAIXO DO BASICO]]/Tabela317[[#This Row],[TOTAL DE ALUNOS]]*100</f>
        <v>17.449664429530202</v>
      </c>
      <c r="J157" s="421">
        <f>Tabela317[[#This Row],[Abaixo do Básico]]*1</f>
        <v>17.449664429530202</v>
      </c>
      <c r="K157" s="421">
        <f>Tabela317[[#This Row],[TOTAL ALUNOS DO BASICO]]/Tabela317[[#This Row],[TOTAL DE ALUNOS]]*100</f>
        <v>27.516778523489933</v>
      </c>
      <c r="L157" s="421">
        <f>Tabela317[[#This Row],[Básico]]*2</f>
        <v>55.033557046979865</v>
      </c>
      <c r="M157" s="421">
        <f>Tabela317[[#This Row],[TOTAL ALUNOS ADEQUADO]]/Tabela317[[#This Row],[TOTAL DE ALUNOS]]*100</f>
        <v>31.543624161073826</v>
      </c>
      <c r="N157" s="421">
        <f>Tabela317[[#This Row],[Adequado]]*3</f>
        <v>94.630872483221481</v>
      </c>
      <c r="O157" s="421">
        <f>Tabela317[[#This Row],[TOTAL DE ALUNOS AVANÇADO]]/Tabela317[[#This Row],[TOTAL DE ALUNOS]]*100</f>
        <v>23.48993288590604</v>
      </c>
      <c r="P157" s="421">
        <f>Tabela317[[#This Row],[Avançado]]*4</f>
        <v>93.959731543624159</v>
      </c>
      <c r="Q157" s="421">
        <f t="shared" si="12"/>
        <v>261.07382550335569</v>
      </c>
      <c r="R157" s="455">
        <f>Tabela317[[#This Row],[Participação]]*100</f>
        <v>89.759999999999991</v>
      </c>
      <c r="S157" s="422">
        <f t="shared" si="15"/>
        <v>261.07382550335569</v>
      </c>
      <c r="T157" s="422">
        <f>Tabela317[[#This Row],[META 2024]]*0.65</f>
        <v>171.78564</v>
      </c>
      <c r="U157" s="421">
        <v>264.28559999999999</v>
      </c>
      <c r="V157" s="422">
        <f t="shared" si="13"/>
        <v>0.96527809853491509</v>
      </c>
      <c r="W157" s="422">
        <f t="shared" si="16"/>
        <v>0.96527809853491509</v>
      </c>
    </row>
    <row r="158" spans="1:23">
      <c r="A158" s="456">
        <v>201</v>
      </c>
      <c r="B158" s="457" t="s">
        <v>88</v>
      </c>
      <c r="C158" s="418">
        <v>37</v>
      </c>
      <c r="D158" s="418">
        <v>22</v>
      </c>
      <c r="E158" s="418">
        <v>30</v>
      </c>
      <c r="F158" s="418">
        <v>32</v>
      </c>
      <c r="G158" s="454">
        <f t="shared" si="14"/>
        <v>121</v>
      </c>
      <c r="H158" s="420">
        <v>0.88319999999999999</v>
      </c>
      <c r="I158" s="421">
        <f>Tabela317[[#This Row],[TOTAL ALUNOS ABAIXO DO BASICO]]/Tabela317[[#This Row],[TOTAL DE ALUNOS]]*100</f>
        <v>30.578512396694212</v>
      </c>
      <c r="J158" s="421">
        <f>Tabela317[[#This Row],[Abaixo do Básico]]*1</f>
        <v>30.578512396694212</v>
      </c>
      <c r="K158" s="421">
        <f>Tabela317[[#This Row],[TOTAL ALUNOS DO BASICO]]/Tabela317[[#This Row],[TOTAL DE ALUNOS]]*100</f>
        <v>18.181818181818183</v>
      </c>
      <c r="L158" s="421">
        <f>Tabela317[[#This Row],[Básico]]*2</f>
        <v>36.363636363636367</v>
      </c>
      <c r="M158" s="421">
        <f>Tabela317[[#This Row],[TOTAL ALUNOS ADEQUADO]]/Tabela317[[#This Row],[TOTAL DE ALUNOS]]*100</f>
        <v>24.793388429752067</v>
      </c>
      <c r="N158" s="421">
        <f>Tabela317[[#This Row],[Adequado]]*3</f>
        <v>74.380165289256198</v>
      </c>
      <c r="O158" s="421">
        <f>Tabela317[[#This Row],[TOTAL DE ALUNOS AVANÇADO]]/Tabela317[[#This Row],[TOTAL DE ALUNOS]]*100</f>
        <v>26.446280991735538</v>
      </c>
      <c r="P158" s="421">
        <f>Tabela317[[#This Row],[Avançado]]*4</f>
        <v>105.78512396694215</v>
      </c>
      <c r="Q158" s="421">
        <f t="shared" si="12"/>
        <v>247.10743801652893</v>
      </c>
      <c r="R158" s="455">
        <f>Tabela317[[#This Row],[Participação]]*100</f>
        <v>88.32</v>
      </c>
      <c r="S158" s="422">
        <f t="shared" si="15"/>
        <v>247.10743801652893</v>
      </c>
      <c r="T158" s="422">
        <f>Tabela317[[#This Row],[META 2024]]*0.65</f>
        <v>167.96637000000001</v>
      </c>
      <c r="U158" s="421">
        <v>258.40980000000002</v>
      </c>
      <c r="V158" s="422">
        <f t="shared" si="13"/>
        <v>0.87503390811835546</v>
      </c>
      <c r="W158" s="422">
        <f t="shared" si="16"/>
        <v>0.87503390811835546</v>
      </c>
    </row>
    <row r="159" spans="1:23">
      <c r="A159" s="456">
        <v>202</v>
      </c>
      <c r="B159" s="457" t="s">
        <v>133</v>
      </c>
      <c r="C159" s="418">
        <v>10</v>
      </c>
      <c r="D159" s="418">
        <v>13</v>
      </c>
      <c r="E159" s="418">
        <v>14</v>
      </c>
      <c r="F159" s="418">
        <v>18</v>
      </c>
      <c r="G159" s="454">
        <f t="shared" si="14"/>
        <v>55</v>
      </c>
      <c r="H159" s="420">
        <v>0.84619999999999995</v>
      </c>
      <c r="I159" s="421">
        <f>Tabela317[[#This Row],[TOTAL ALUNOS ABAIXO DO BASICO]]/Tabela317[[#This Row],[TOTAL DE ALUNOS]]*100</f>
        <v>18.181818181818183</v>
      </c>
      <c r="J159" s="421">
        <f>Tabela317[[#This Row],[Abaixo do Básico]]*1</f>
        <v>18.181818181818183</v>
      </c>
      <c r="K159" s="421">
        <f>Tabela317[[#This Row],[TOTAL ALUNOS DO BASICO]]/Tabela317[[#This Row],[TOTAL DE ALUNOS]]*100</f>
        <v>23.636363636363637</v>
      </c>
      <c r="L159" s="421">
        <f>Tabela317[[#This Row],[Básico]]*2</f>
        <v>47.272727272727273</v>
      </c>
      <c r="M159" s="421">
        <f>Tabela317[[#This Row],[TOTAL ALUNOS ADEQUADO]]/Tabela317[[#This Row],[TOTAL DE ALUNOS]]*100</f>
        <v>25.454545454545453</v>
      </c>
      <c r="N159" s="421">
        <f>Tabela317[[#This Row],[Adequado]]*3</f>
        <v>76.36363636363636</v>
      </c>
      <c r="O159" s="421">
        <f>Tabela317[[#This Row],[TOTAL DE ALUNOS AVANÇADO]]/Tabela317[[#This Row],[TOTAL DE ALUNOS]]*100</f>
        <v>32.727272727272727</v>
      </c>
      <c r="P159" s="421">
        <f>Tabela317[[#This Row],[Avançado]]*4</f>
        <v>130.90909090909091</v>
      </c>
      <c r="Q159" s="421">
        <f t="shared" si="12"/>
        <v>272.72727272727275</v>
      </c>
      <c r="R159" s="455">
        <f>Tabela317[[#This Row],[Participação]]*100</f>
        <v>84.61999999999999</v>
      </c>
      <c r="S159" s="422">
        <f t="shared" si="15"/>
        <v>272.72727272727275</v>
      </c>
      <c r="T159" s="422">
        <f>Tabela317[[#This Row],[META 2024]]*0.65</f>
        <v>169.19500000000002</v>
      </c>
      <c r="U159" s="421">
        <v>260.3</v>
      </c>
      <c r="V159" s="422">
        <f t="shared" si="13"/>
        <v>1.1364060449730831</v>
      </c>
      <c r="W159" s="422">
        <f t="shared" si="16"/>
        <v>1</v>
      </c>
    </row>
    <row r="160" spans="1:23">
      <c r="A160" s="456">
        <v>203</v>
      </c>
      <c r="B160" s="457" t="s">
        <v>63</v>
      </c>
      <c r="C160" s="418">
        <v>23</v>
      </c>
      <c r="D160" s="418">
        <v>30</v>
      </c>
      <c r="E160" s="418">
        <v>32</v>
      </c>
      <c r="F160" s="418">
        <v>20</v>
      </c>
      <c r="G160" s="454">
        <f t="shared" si="14"/>
        <v>105</v>
      </c>
      <c r="H160" s="420">
        <v>0.95450000000000002</v>
      </c>
      <c r="I160" s="421">
        <f>Tabela317[[#This Row],[TOTAL ALUNOS ABAIXO DO BASICO]]/Tabela317[[#This Row],[TOTAL DE ALUNOS]]*100</f>
        <v>21.904761904761905</v>
      </c>
      <c r="J160" s="421">
        <f>Tabela317[[#This Row],[Abaixo do Básico]]*1</f>
        <v>21.904761904761905</v>
      </c>
      <c r="K160" s="421">
        <f>Tabela317[[#This Row],[TOTAL ALUNOS DO BASICO]]/Tabela317[[#This Row],[TOTAL DE ALUNOS]]*100</f>
        <v>28.571428571428569</v>
      </c>
      <c r="L160" s="421">
        <f>Tabela317[[#This Row],[Básico]]*2</f>
        <v>57.142857142857139</v>
      </c>
      <c r="M160" s="421">
        <f>Tabela317[[#This Row],[TOTAL ALUNOS ADEQUADO]]/Tabela317[[#This Row],[TOTAL DE ALUNOS]]*100</f>
        <v>30.476190476190478</v>
      </c>
      <c r="N160" s="421">
        <f>Tabela317[[#This Row],[Adequado]]*3</f>
        <v>91.428571428571431</v>
      </c>
      <c r="O160" s="421">
        <f>Tabela317[[#This Row],[TOTAL DE ALUNOS AVANÇADO]]/Tabela317[[#This Row],[TOTAL DE ALUNOS]]*100</f>
        <v>19.047619047619047</v>
      </c>
      <c r="P160" s="421">
        <f>Tabela317[[#This Row],[Avançado]]*4</f>
        <v>76.19047619047619</v>
      </c>
      <c r="Q160" s="421">
        <f t="shared" si="12"/>
        <v>246.66666666666669</v>
      </c>
      <c r="R160" s="455">
        <f>Tabela317[[#This Row],[Participação]]*100</f>
        <v>95.45</v>
      </c>
      <c r="S160" s="422">
        <f t="shared" si="15"/>
        <v>246.66666666666669</v>
      </c>
      <c r="T160" s="422">
        <f>Tabela317[[#This Row],[META 2024]]*0.65</f>
        <v>147.52257</v>
      </c>
      <c r="U160" s="421">
        <v>226.95779999999999</v>
      </c>
      <c r="V160" s="422">
        <f t="shared" si="13"/>
        <v>1.2481124139335493</v>
      </c>
      <c r="W160" s="422">
        <f t="shared" si="16"/>
        <v>1</v>
      </c>
    </row>
    <row r="161" spans="1:23">
      <c r="A161" s="456">
        <v>205</v>
      </c>
      <c r="B161" s="457" t="s">
        <v>169</v>
      </c>
      <c r="C161" s="418">
        <v>72</v>
      </c>
      <c r="D161" s="418">
        <v>60</v>
      </c>
      <c r="E161" s="418">
        <v>64</v>
      </c>
      <c r="F161" s="418">
        <v>38</v>
      </c>
      <c r="G161" s="454">
        <f t="shared" si="14"/>
        <v>234</v>
      </c>
      <c r="H161" s="420">
        <v>0.91759999999999997</v>
      </c>
      <c r="I161" s="421">
        <f>Tabela317[[#This Row],[TOTAL ALUNOS ABAIXO DO BASICO]]/Tabela317[[#This Row],[TOTAL DE ALUNOS]]*100</f>
        <v>30.76923076923077</v>
      </c>
      <c r="J161" s="421">
        <f>Tabela317[[#This Row],[Abaixo do Básico]]*1</f>
        <v>30.76923076923077</v>
      </c>
      <c r="K161" s="421">
        <f>Tabela317[[#This Row],[TOTAL ALUNOS DO BASICO]]/Tabela317[[#This Row],[TOTAL DE ALUNOS]]*100</f>
        <v>25.641025641025639</v>
      </c>
      <c r="L161" s="421">
        <f>Tabela317[[#This Row],[Básico]]*2</f>
        <v>51.282051282051277</v>
      </c>
      <c r="M161" s="421">
        <f>Tabela317[[#This Row],[TOTAL ALUNOS ADEQUADO]]/Tabela317[[#This Row],[TOTAL DE ALUNOS]]*100</f>
        <v>27.350427350427353</v>
      </c>
      <c r="N161" s="421">
        <f>Tabela317[[#This Row],[Adequado]]*3</f>
        <v>82.051282051282058</v>
      </c>
      <c r="O161" s="421">
        <f>Tabela317[[#This Row],[TOTAL DE ALUNOS AVANÇADO]]/Tabela317[[#This Row],[TOTAL DE ALUNOS]]*100</f>
        <v>16.239316239316238</v>
      </c>
      <c r="P161" s="421">
        <f>Tabela317[[#This Row],[Avançado]]*4</f>
        <v>64.957264957264954</v>
      </c>
      <c r="Q161" s="421">
        <f t="shared" si="12"/>
        <v>229.05982905982904</v>
      </c>
      <c r="R161" s="455">
        <f>Tabela317[[#This Row],[Participação]]*100</f>
        <v>91.759999999999991</v>
      </c>
      <c r="S161" s="422">
        <f t="shared" si="15"/>
        <v>229.05982905982904</v>
      </c>
      <c r="T161" s="422">
        <f>Tabela317[[#This Row],[META 2024]]*0.65</f>
        <v>150.54910000000001</v>
      </c>
      <c r="U161" s="421">
        <v>231.614</v>
      </c>
      <c r="V161" s="422">
        <f t="shared" si="13"/>
        <v>0.96849227051200992</v>
      </c>
      <c r="W161" s="422">
        <f t="shared" si="16"/>
        <v>0.96849227051200992</v>
      </c>
    </row>
    <row r="162" spans="1:23">
      <c r="A162" s="456">
        <v>206</v>
      </c>
      <c r="B162" s="457" t="s">
        <v>214</v>
      </c>
      <c r="C162" s="418">
        <v>30</v>
      </c>
      <c r="D162" s="418">
        <v>30</v>
      </c>
      <c r="E162" s="418">
        <v>38</v>
      </c>
      <c r="F162" s="418">
        <v>27</v>
      </c>
      <c r="G162" s="454">
        <f t="shared" si="14"/>
        <v>125</v>
      </c>
      <c r="H162" s="420">
        <v>0.93279999999999996</v>
      </c>
      <c r="I162" s="421">
        <f>Tabela317[[#This Row],[TOTAL ALUNOS ABAIXO DO BASICO]]/Tabela317[[#This Row],[TOTAL DE ALUNOS]]*100</f>
        <v>24</v>
      </c>
      <c r="J162" s="421">
        <f>Tabela317[[#This Row],[Abaixo do Básico]]*1</f>
        <v>24</v>
      </c>
      <c r="K162" s="421">
        <f>Tabela317[[#This Row],[TOTAL ALUNOS DO BASICO]]/Tabela317[[#This Row],[TOTAL DE ALUNOS]]*100</f>
        <v>24</v>
      </c>
      <c r="L162" s="421">
        <f>Tabela317[[#This Row],[Básico]]*2</f>
        <v>48</v>
      </c>
      <c r="M162" s="421">
        <f>Tabela317[[#This Row],[TOTAL ALUNOS ADEQUADO]]/Tabela317[[#This Row],[TOTAL DE ALUNOS]]*100</f>
        <v>30.4</v>
      </c>
      <c r="N162" s="421">
        <f>Tabela317[[#This Row],[Adequado]]*3</f>
        <v>91.199999999999989</v>
      </c>
      <c r="O162" s="421">
        <f>Tabela317[[#This Row],[TOTAL DE ALUNOS AVANÇADO]]/Tabela317[[#This Row],[TOTAL DE ALUNOS]]*100</f>
        <v>21.6</v>
      </c>
      <c r="P162" s="421">
        <f>Tabela317[[#This Row],[Avançado]]*4</f>
        <v>86.4</v>
      </c>
      <c r="Q162" s="421">
        <f t="shared" si="12"/>
        <v>249.6</v>
      </c>
      <c r="R162" s="455">
        <f>Tabela317[[#This Row],[Participação]]*100</f>
        <v>93.28</v>
      </c>
      <c r="S162" s="422">
        <f t="shared" si="15"/>
        <v>249.6</v>
      </c>
      <c r="T162" s="422">
        <f>Tabela317[[#This Row],[META 2024]]*0.65</f>
        <v>167.02841999999998</v>
      </c>
      <c r="U162" s="421">
        <v>256.96679999999998</v>
      </c>
      <c r="V162" s="422">
        <f t="shared" si="13"/>
        <v>0.91809058602122939</v>
      </c>
      <c r="W162" s="422">
        <f t="shared" si="16"/>
        <v>0.91809058602122939</v>
      </c>
    </row>
    <row r="163" spans="1:23">
      <c r="A163" s="456">
        <v>207</v>
      </c>
      <c r="B163" s="457" t="s">
        <v>31</v>
      </c>
      <c r="C163" s="418">
        <v>55</v>
      </c>
      <c r="D163" s="418">
        <v>54</v>
      </c>
      <c r="E163" s="418">
        <v>56</v>
      </c>
      <c r="F163" s="418">
        <v>26</v>
      </c>
      <c r="G163" s="454">
        <f t="shared" si="14"/>
        <v>191</v>
      </c>
      <c r="H163" s="420">
        <v>0.86429999999999996</v>
      </c>
      <c r="I163" s="421">
        <f>Tabela317[[#This Row],[TOTAL ALUNOS ABAIXO DO BASICO]]/Tabela317[[#This Row],[TOTAL DE ALUNOS]]*100</f>
        <v>28.795811518324609</v>
      </c>
      <c r="J163" s="421">
        <f>Tabela317[[#This Row],[Abaixo do Básico]]*1</f>
        <v>28.795811518324609</v>
      </c>
      <c r="K163" s="421">
        <f>Tabela317[[#This Row],[TOTAL ALUNOS DO BASICO]]/Tabela317[[#This Row],[TOTAL DE ALUNOS]]*100</f>
        <v>28.272251308900525</v>
      </c>
      <c r="L163" s="421">
        <f>Tabela317[[#This Row],[Básico]]*2</f>
        <v>56.544502617801051</v>
      </c>
      <c r="M163" s="421">
        <f>Tabela317[[#This Row],[TOTAL ALUNOS ADEQUADO]]/Tabela317[[#This Row],[TOTAL DE ALUNOS]]*100</f>
        <v>29.319371727748688</v>
      </c>
      <c r="N163" s="421">
        <f>Tabela317[[#This Row],[Adequado]]*3</f>
        <v>87.958115183246065</v>
      </c>
      <c r="O163" s="421">
        <f>Tabela317[[#This Row],[TOTAL DE ALUNOS AVANÇADO]]/Tabela317[[#This Row],[TOTAL DE ALUNOS]]*100</f>
        <v>13.612565445026178</v>
      </c>
      <c r="P163" s="421">
        <f>Tabela317[[#This Row],[Avançado]]*4</f>
        <v>54.450261780104711</v>
      </c>
      <c r="Q163" s="421">
        <f t="shared" si="12"/>
        <v>227.74869109947645</v>
      </c>
      <c r="R163" s="455">
        <f>Tabela317[[#This Row],[Participação]]*100</f>
        <v>86.429999999999993</v>
      </c>
      <c r="S163" s="422">
        <f t="shared" si="15"/>
        <v>227.74869109947645</v>
      </c>
      <c r="T163" s="422">
        <f>Tabela317[[#This Row],[META 2024]]*0.65</f>
        <v>137.92486500000001</v>
      </c>
      <c r="U163" s="421">
        <v>212.19210000000001</v>
      </c>
      <c r="V163" s="422">
        <f t="shared" si="13"/>
        <v>1.2094677565345799</v>
      </c>
      <c r="W163" s="422">
        <f t="shared" si="16"/>
        <v>1</v>
      </c>
    </row>
    <row r="164" spans="1:23">
      <c r="A164" s="456">
        <v>208</v>
      </c>
      <c r="B164" s="457" t="s">
        <v>112</v>
      </c>
      <c r="C164" s="418">
        <v>44</v>
      </c>
      <c r="D164" s="418">
        <v>51</v>
      </c>
      <c r="E164" s="418">
        <v>55</v>
      </c>
      <c r="F164" s="418">
        <v>48</v>
      </c>
      <c r="G164" s="454">
        <f t="shared" si="14"/>
        <v>198</v>
      </c>
      <c r="H164" s="420">
        <v>0.94289999999999996</v>
      </c>
      <c r="I164" s="421">
        <f>Tabela317[[#This Row],[TOTAL ALUNOS ABAIXO DO BASICO]]/Tabela317[[#This Row],[TOTAL DE ALUNOS]]*100</f>
        <v>22.222222222222221</v>
      </c>
      <c r="J164" s="421">
        <f>Tabela317[[#This Row],[Abaixo do Básico]]*1</f>
        <v>22.222222222222221</v>
      </c>
      <c r="K164" s="421">
        <f>Tabela317[[#This Row],[TOTAL ALUNOS DO BASICO]]/Tabela317[[#This Row],[TOTAL DE ALUNOS]]*100</f>
        <v>25.757575757575758</v>
      </c>
      <c r="L164" s="421">
        <f>Tabela317[[#This Row],[Básico]]*2</f>
        <v>51.515151515151516</v>
      </c>
      <c r="M164" s="421">
        <f>Tabela317[[#This Row],[TOTAL ALUNOS ADEQUADO]]/Tabela317[[#This Row],[TOTAL DE ALUNOS]]*100</f>
        <v>27.777777777777779</v>
      </c>
      <c r="N164" s="421">
        <f>Tabela317[[#This Row],[Adequado]]*3</f>
        <v>83.333333333333343</v>
      </c>
      <c r="O164" s="421">
        <f>Tabela317[[#This Row],[TOTAL DE ALUNOS AVANÇADO]]/Tabela317[[#This Row],[TOTAL DE ALUNOS]]*100</f>
        <v>24.242424242424242</v>
      </c>
      <c r="P164" s="421">
        <f>Tabela317[[#This Row],[Avançado]]*4</f>
        <v>96.969696969696969</v>
      </c>
      <c r="Q164" s="421">
        <f t="shared" si="12"/>
        <v>254.04040404040404</v>
      </c>
      <c r="R164" s="455">
        <f>Tabela317[[#This Row],[Participação]]*100</f>
        <v>94.289999999999992</v>
      </c>
      <c r="S164" s="422">
        <f t="shared" si="15"/>
        <v>254.04040404040404</v>
      </c>
      <c r="T164" s="422">
        <f>Tabela317[[#This Row],[META 2024]]*0.65</f>
        <v>164.47886</v>
      </c>
      <c r="U164" s="421">
        <v>253.0444</v>
      </c>
      <c r="V164" s="422">
        <f t="shared" si="13"/>
        <v>1.0112459545823809</v>
      </c>
      <c r="W164" s="422">
        <f t="shared" si="16"/>
        <v>1</v>
      </c>
    </row>
    <row r="165" spans="1:23">
      <c r="A165" s="456">
        <v>210</v>
      </c>
      <c r="B165" s="457" t="s">
        <v>13</v>
      </c>
      <c r="C165" s="418">
        <v>20</v>
      </c>
      <c r="D165" s="418">
        <v>35</v>
      </c>
      <c r="E165" s="418">
        <v>54</v>
      </c>
      <c r="F165" s="418">
        <v>43</v>
      </c>
      <c r="G165" s="454">
        <f t="shared" si="14"/>
        <v>152</v>
      </c>
      <c r="H165" s="420">
        <v>0.97440000000000004</v>
      </c>
      <c r="I165" s="421">
        <f>Tabela317[[#This Row],[TOTAL ALUNOS ABAIXO DO BASICO]]/Tabela317[[#This Row],[TOTAL DE ALUNOS]]*100</f>
        <v>13.157894736842104</v>
      </c>
      <c r="J165" s="421">
        <f>Tabela317[[#This Row],[Abaixo do Básico]]*1</f>
        <v>13.157894736842104</v>
      </c>
      <c r="K165" s="421">
        <f>Tabela317[[#This Row],[TOTAL ALUNOS DO BASICO]]/Tabela317[[#This Row],[TOTAL DE ALUNOS]]*100</f>
        <v>23.026315789473685</v>
      </c>
      <c r="L165" s="421">
        <f>Tabela317[[#This Row],[Básico]]*2</f>
        <v>46.05263157894737</v>
      </c>
      <c r="M165" s="421">
        <f>Tabela317[[#This Row],[TOTAL ALUNOS ADEQUADO]]/Tabela317[[#This Row],[TOTAL DE ALUNOS]]*100</f>
        <v>35.526315789473685</v>
      </c>
      <c r="N165" s="421">
        <f>Tabela317[[#This Row],[Adequado]]*3</f>
        <v>106.57894736842105</v>
      </c>
      <c r="O165" s="421">
        <f>Tabela317[[#This Row],[TOTAL DE ALUNOS AVANÇADO]]/Tabela317[[#This Row],[TOTAL DE ALUNOS]]*100</f>
        <v>28.289473684210524</v>
      </c>
      <c r="P165" s="421">
        <f>Tabela317[[#This Row],[Avançado]]*4</f>
        <v>113.1578947368421</v>
      </c>
      <c r="Q165" s="421">
        <f t="shared" si="12"/>
        <v>278.9473684210526</v>
      </c>
      <c r="R165" s="455">
        <f>Tabela317[[#This Row],[Participação]]*100</f>
        <v>97.44</v>
      </c>
      <c r="S165" s="422">
        <f t="shared" si="15"/>
        <v>278.9473684210526</v>
      </c>
      <c r="T165" s="422">
        <f>Tabela317[[#This Row],[META 2024]]*0.65</f>
        <v>156.37440000000001</v>
      </c>
      <c r="U165" s="421">
        <v>240.57599999999999</v>
      </c>
      <c r="V165" s="422">
        <f t="shared" si="13"/>
        <v>1.4557083050803383</v>
      </c>
      <c r="W165" s="422">
        <f t="shared" si="16"/>
        <v>1</v>
      </c>
    </row>
    <row r="166" spans="1:23">
      <c r="A166" s="456">
        <v>211</v>
      </c>
      <c r="B166" s="457" t="s">
        <v>76</v>
      </c>
      <c r="C166" s="418">
        <v>37</v>
      </c>
      <c r="D166" s="418">
        <v>54</v>
      </c>
      <c r="E166" s="418">
        <v>55</v>
      </c>
      <c r="F166" s="418">
        <v>39</v>
      </c>
      <c r="G166" s="454">
        <f t="shared" si="14"/>
        <v>185</v>
      </c>
      <c r="H166" s="420">
        <v>0.88100000000000001</v>
      </c>
      <c r="I166" s="421">
        <f>Tabela317[[#This Row],[TOTAL ALUNOS ABAIXO DO BASICO]]/Tabela317[[#This Row],[TOTAL DE ALUNOS]]*100</f>
        <v>20</v>
      </c>
      <c r="J166" s="421">
        <f>Tabela317[[#This Row],[Abaixo do Básico]]*1</f>
        <v>20</v>
      </c>
      <c r="K166" s="421">
        <f>Tabela317[[#This Row],[TOTAL ALUNOS DO BASICO]]/Tabela317[[#This Row],[TOTAL DE ALUNOS]]*100</f>
        <v>29.189189189189189</v>
      </c>
      <c r="L166" s="421">
        <f>Tabela317[[#This Row],[Básico]]*2</f>
        <v>58.378378378378379</v>
      </c>
      <c r="M166" s="421">
        <f>Tabela317[[#This Row],[TOTAL ALUNOS ADEQUADO]]/Tabela317[[#This Row],[TOTAL DE ALUNOS]]*100</f>
        <v>29.72972972972973</v>
      </c>
      <c r="N166" s="421">
        <f>Tabela317[[#This Row],[Adequado]]*3</f>
        <v>89.189189189189193</v>
      </c>
      <c r="O166" s="421">
        <f>Tabela317[[#This Row],[TOTAL DE ALUNOS AVANÇADO]]/Tabela317[[#This Row],[TOTAL DE ALUNOS]]*100</f>
        <v>21.081081081081081</v>
      </c>
      <c r="P166" s="421">
        <f>Tabela317[[#This Row],[Avançado]]*4</f>
        <v>84.324324324324323</v>
      </c>
      <c r="Q166" s="421">
        <f t="shared" si="12"/>
        <v>251.8918918918919</v>
      </c>
      <c r="R166" s="455">
        <f>Tabela317[[#This Row],[Participação]]*100</f>
        <v>88.1</v>
      </c>
      <c r="S166" s="422">
        <f t="shared" si="15"/>
        <v>251.8918918918919</v>
      </c>
      <c r="T166" s="422">
        <f>Tabela317[[#This Row],[META 2024]]*0.65</f>
        <v>175.53549000000001</v>
      </c>
      <c r="U166" s="421">
        <v>270.05459999999999</v>
      </c>
      <c r="V166" s="422">
        <f t="shared" si="13"/>
        <v>0.80784088944438759</v>
      </c>
      <c r="W166" s="422">
        <f t="shared" si="16"/>
        <v>0.80784088944438759</v>
      </c>
    </row>
    <row r="167" spans="1:23">
      <c r="A167" s="456">
        <v>212</v>
      </c>
      <c r="B167" s="457" t="s">
        <v>15</v>
      </c>
      <c r="C167" s="418">
        <v>28</v>
      </c>
      <c r="D167" s="418">
        <v>30</v>
      </c>
      <c r="E167" s="418">
        <v>22</v>
      </c>
      <c r="F167" s="418">
        <v>26</v>
      </c>
      <c r="G167" s="454">
        <f t="shared" si="14"/>
        <v>106</v>
      </c>
      <c r="H167" s="420">
        <v>0.98150000000000004</v>
      </c>
      <c r="I167" s="421">
        <f>Tabela317[[#This Row],[TOTAL ALUNOS ABAIXO DO BASICO]]/Tabela317[[#This Row],[TOTAL DE ALUNOS]]*100</f>
        <v>26.415094339622641</v>
      </c>
      <c r="J167" s="421">
        <f>Tabela317[[#This Row],[Abaixo do Básico]]*1</f>
        <v>26.415094339622641</v>
      </c>
      <c r="K167" s="421">
        <f>Tabela317[[#This Row],[TOTAL ALUNOS DO BASICO]]/Tabela317[[#This Row],[TOTAL DE ALUNOS]]*100</f>
        <v>28.30188679245283</v>
      </c>
      <c r="L167" s="421">
        <f>Tabela317[[#This Row],[Básico]]*2</f>
        <v>56.60377358490566</v>
      </c>
      <c r="M167" s="421">
        <f>Tabela317[[#This Row],[TOTAL ALUNOS ADEQUADO]]/Tabela317[[#This Row],[TOTAL DE ALUNOS]]*100</f>
        <v>20.754716981132077</v>
      </c>
      <c r="N167" s="421">
        <f>Tabela317[[#This Row],[Adequado]]*3</f>
        <v>62.264150943396231</v>
      </c>
      <c r="O167" s="421">
        <f>Tabela317[[#This Row],[TOTAL DE ALUNOS AVANÇADO]]/Tabela317[[#This Row],[TOTAL DE ALUNOS]]*100</f>
        <v>24.528301886792452</v>
      </c>
      <c r="P167" s="421">
        <f>Tabela317[[#This Row],[Avançado]]*4</f>
        <v>98.113207547169807</v>
      </c>
      <c r="Q167" s="421">
        <f t="shared" si="12"/>
        <v>243.39622641509436</v>
      </c>
      <c r="R167" s="455">
        <f>Tabela317[[#This Row],[Participação]]*100</f>
        <v>98.15</v>
      </c>
      <c r="S167" s="422">
        <f t="shared" si="15"/>
        <v>243.39622641509436</v>
      </c>
      <c r="T167" s="422">
        <f>Tabela317[[#This Row],[META 2024]]*0.65</f>
        <v>143.16464500000001</v>
      </c>
      <c r="U167" s="421">
        <v>220.2533</v>
      </c>
      <c r="V167" s="422">
        <f t="shared" si="13"/>
        <v>1.3002118329226833</v>
      </c>
      <c r="W167" s="422">
        <f t="shared" si="16"/>
        <v>1</v>
      </c>
    </row>
    <row r="168" spans="1:23">
      <c r="A168" s="456">
        <v>213</v>
      </c>
      <c r="B168" s="457" t="s">
        <v>78</v>
      </c>
      <c r="C168" s="418">
        <v>15</v>
      </c>
      <c r="D168" s="418">
        <v>11</v>
      </c>
      <c r="E168" s="418">
        <v>26</v>
      </c>
      <c r="F168" s="418">
        <v>15</v>
      </c>
      <c r="G168" s="454">
        <f t="shared" si="14"/>
        <v>67</v>
      </c>
      <c r="H168" s="420">
        <v>0.90539999999999998</v>
      </c>
      <c r="I168" s="421">
        <f>Tabela317[[#This Row],[TOTAL ALUNOS ABAIXO DO BASICO]]/Tabela317[[#This Row],[TOTAL DE ALUNOS]]*100</f>
        <v>22.388059701492537</v>
      </c>
      <c r="J168" s="421">
        <f>Tabela317[[#This Row],[Abaixo do Básico]]*1</f>
        <v>22.388059701492537</v>
      </c>
      <c r="K168" s="421">
        <f>Tabela317[[#This Row],[TOTAL ALUNOS DO BASICO]]/Tabela317[[#This Row],[TOTAL DE ALUNOS]]*100</f>
        <v>16.417910447761194</v>
      </c>
      <c r="L168" s="421">
        <f>Tabela317[[#This Row],[Básico]]*2</f>
        <v>32.835820895522389</v>
      </c>
      <c r="M168" s="421">
        <f>Tabela317[[#This Row],[TOTAL ALUNOS ADEQUADO]]/Tabela317[[#This Row],[TOTAL DE ALUNOS]]*100</f>
        <v>38.805970149253731</v>
      </c>
      <c r="N168" s="421">
        <f>Tabela317[[#This Row],[Adequado]]*3</f>
        <v>116.41791044776119</v>
      </c>
      <c r="O168" s="421">
        <f>Tabela317[[#This Row],[TOTAL DE ALUNOS AVANÇADO]]/Tabela317[[#This Row],[TOTAL DE ALUNOS]]*100</f>
        <v>22.388059701492537</v>
      </c>
      <c r="P168" s="421">
        <f>Tabela317[[#This Row],[Avançado]]*4</f>
        <v>89.552238805970148</v>
      </c>
      <c r="Q168" s="421">
        <f t="shared" si="12"/>
        <v>261.19402985074623</v>
      </c>
      <c r="R168" s="455">
        <f>Tabela317[[#This Row],[Participação]]*100</f>
        <v>90.539999999999992</v>
      </c>
      <c r="S168" s="422">
        <f t="shared" si="15"/>
        <v>261.19402985074623</v>
      </c>
      <c r="T168" s="422">
        <f>Tabela317[[#This Row],[META 2024]]*0.65</f>
        <v>175.87193000000002</v>
      </c>
      <c r="U168" s="421">
        <v>270.57220000000001</v>
      </c>
      <c r="V168" s="422">
        <f t="shared" si="13"/>
        <v>0.90096997453910344</v>
      </c>
      <c r="W168" s="422">
        <f t="shared" si="16"/>
        <v>0.90096997453910344</v>
      </c>
    </row>
    <row r="169" spans="1:23">
      <c r="A169" s="456">
        <v>214</v>
      </c>
      <c r="B169" s="457" t="s">
        <v>8</v>
      </c>
      <c r="C169" s="418">
        <v>23</v>
      </c>
      <c r="D169" s="418">
        <v>18</v>
      </c>
      <c r="E169" s="418">
        <v>19</v>
      </c>
      <c r="F169" s="418">
        <v>11</v>
      </c>
      <c r="G169" s="454">
        <f t="shared" si="14"/>
        <v>71</v>
      </c>
      <c r="H169" s="420">
        <v>0.87649999999999995</v>
      </c>
      <c r="I169" s="421">
        <f>Tabela317[[#This Row],[TOTAL ALUNOS ABAIXO DO BASICO]]/Tabela317[[#This Row],[TOTAL DE ALUNOS]]*100</f>
        <v>32.394366197183103</v>
      </c>
      <c r="J169" s="421">
        <f>Tabela317[[#This Row],[Abaixo do Básico]]*1</f>
        <v>32.394366197183103</v>
      </c>
      <c r="K169" s="421">
        <f>Tabela317[[#This Row],[TOTAL ALUNOS DO BASICO]]/Tabela317[[#This Row],[TOTAL DE ALUNOS]]*100</f>
        <v>25.352112676056336</v>
      </c>
      <c r="L169" s="421">
        <f>Tabela317[[#This Row],[Básico]]*2</f>
        <v>50.704225352112672</v>
      </c>
      <c r="M169" s="421">
        <f>Tabela317[[#This Row],[TOTAL ALUNOS ADEQUADO]]/Tabela317[[#This Row],[TOTAL DE ALUNOS]]*100</f>
        <v>26.760563380281688</v>
      </c>
      <c r="N169" s="421">
        <f>Tabela317[[#This Row],[Adequado]]*3</f>
        <v>80.281690140845058</v>
      </c>
      <c r="O169" s="421">
        <f>Tabela317[[#This Row],[TOTAL DE ALUNOS AVANÇADO]]/Tabela317[[#This Row],[TOTAL DE ALUNOS]]*100</f>
        <v>15.492957746478872</v>
      </c>
      <c r="P169" s="421">
        <f>Tabela317[[#This Row],[Avançado]]*4</f>
        <v>61.971830985915489</v>
      </c>
      <c r="Q169" s="421">
        <f t="shared" si="12"/>
        <v>225.35211267605632</v>
      </c>
      <c r="R169" s="455">
        <f>Tabela317[[#This Row],[Participação]]*100</f>
        <v>87.649999999999991</v>
      </c>
      <c r="S169" s="422">
        <f t="shared" si="15"/>
        <v>225.35211267605632</v>
      </c>
      <c r="T169" s="422">
        <f>Tabela317[[#This Row],[META 2024]]*0.65</f>
        <v>143.71889999999999</v>
      </c>
      <c r="U169" s="421">
        <v>221.10599999999999</v>
      </c>
      <c r="V169" s="422">
        <f t="shared" si="13"/>
        <v>1.0548684816468936</v>
      </c>
      <c r="W169" s="422">
        <f t="shared" si="16"/>
        <v>1</v>
      </c>
    </row>
    <row r="170" spans="1:23">
      <c r="A170" s="456">
        <v>215</v>
      </c>
      <c r="B170" s="457" t="s">
        <v>104</v>
      </c>
      <c r="C170" s="418">
        <v>23</v>
      </c>
      <c r="D170" s="418">
        <v>24</v>
      </c>
      <c r="E170" s="418">
        <v>17</v>
      </c>
      <c r="F170" s="418">
        <v>7</v>
      </c>
      <c r="G170" s="454">
        <f t="shared" si="14"/>
        <v>71</v>
      </c>
      <c r="H170" s="420">
        <v>0.72450000000000003</v>
      </c>
      <c r="I170" s="421">
        <f>Tabela317[[#This Row],[TOTAL ALUNOS ABAIXO DO BASICO]]/Tabela317[[#This Row],[TOTAL DE ALUNOS]]*100</f>
        <v>32.394366197183103</v>
      </c>
      <c r="J170" s="421">
        <f>Tabela317[[#This Row],[Abaixo do Básico]]*1</f>
        <v>32.394366197183103</v>
      </c>
      <c r="K170" s="421">
        <f>Tabela317[[#This Row],[TOTAL ALUNOS DO BASICO]]/Tabela317[[#This Row],[TOTAL DE ALUNOS]]*100</f>
        <v>33.802816901408448</v>
      </c>
      <c r="L170" s="421">
        <f>Tabela317[[#This Row],[Básico]]*2</f>
        <v>67.605633802816897</v>
      </c>
      <c r="M170" s="421">
        <f>Tabela317[[#This Row],[TOTAL ALUNOS ADEQUADO]]/Tabela317[[#This Row],[TOTAL DE ALUNOS]]*100</f>
        <v>23.943661971830984</v>
      </c>
      <c r="N170" s="421">
        <f>Tabela317[[#This Row],[Adequado]]*3</f>
        <v>71.83098591549296</v>
      </c>
      <c r="O170" s="421">
        <f>Tabela317[[#This Row],[TOTAL DE ALUNOS AVANÇADO]]/Tabela317[[#This Row],[TOTAL DE ALUNOS]]*100</f>
        <v>9.8591549295774641</v>
      </c>
      <c r="P170" s="421">
        <f>Tabela317[[#This Row],[Avançado]]*4</f>
        <v>39.436619718309856</v>
      </c>
      <c r="Q170" s="421">
        <f t="shared" si="12"/>
        <v>211.26760563380282</v>
      </c>
      <c r="R170" s="455">
        <f>Tabela317[[#This Row],[Participação]]*100</f>
        <v>72.45</v>
      </c>
      <c r="S170" s="422">
        <f t="shared" si="15"/>
        <v>211.26760563380282</v>
      </c>
      <c r="T170" s="422">
        <f>Tabela317[[#This Row],[META 2024]]*0.65</f>
        <v>137.4607</v>
      </c>
      <c r="U170" s="421">
        <v>211.47800000000001</v>
      </c>
      <c r="V170" s="422">
        <f t="shared" si="13"/>
        <v>0.99715749742023563</v>
      </c>
      <c r="W170" s="422">
        <f t="shared" si="16"/>
        <v>0.99715749742023563</v>
      </c>
    </row>
    <row r="171" spans="1:23">
      <c r="A171" s="456">
        <v>218</v>
      </c>
      <c r="B171" s="457" t="s">
        <v>192</v>
      </c>
      <c r="C171" s="418">
        <v>23</v>
      </c>
      <c r="D171" s="418">
        <v>26</v>
      </c>
      <c r="E171" s="418">
        <v>22</v>
      </c>
      <c r="F171" s="418">
        <v>23</v>
      </c>
      <c r="G171" s="454">
        <f t="shared" si="14"/>
        <v>94</v>
      </c>
      <c r="H171" s="420">
        <v>0.94</v>
      </c>
      <c r="I171" s="421">
        <f>Tabela317[[#This Row],[TOTAL ALUNOS ABAIXO DO BASICO]]/Tabela317[[#This Row],[TOTAL DE ALUNOS]]*100</f>
        <v>24.468085106382979</v>
      </c>
      <c r="J171" s="421">
        <f>Tabela317[[#This Row],[Abaixo do Básico]]*1</f>
        <v>24.468085106382979</v>
      </c>
      <c r="K171" s="421">
        <f>Tabela317[[#This Row],[TOTAL ALUNOS DO BASICO]]/Tabela317[[#This Row],[TOTAL DE ALUNOS]]*100</f>
        <v>27.659574468085108</v>
      </c>
      <c r="L171" s="421">
        <f>Tabela317[[#This Row],[Básico]]*2</f>
        <v>55.319148936170215</v>
      </c>
      <c r="M171" s="421">
        <f>Tabela317[[#This Row],[TOTAL ALUNOS ADEQUADO]]/Tabela317[[#This Row],[TOTAL DE ALUNOS]]*100</f>
        <v>23.404255319148938</v>
      </c>
      <c r="N171" s="421">
        <f>Tabela317[[#This Row],[Adequado]]*3</f>
        <v>70.212765957446805</v>
      </c>
      <c r="O171" s="421">
        <f>Tabela317[[#This Row],[TOTAL DE ALUNOS AVANÇADO]]/Tabela317[[#This Row],[TOTAL DE ALUNOS]]*100</f>
        <v>24.468085106382979</v>
      </c>
      <c r="P171" s="421">
        <f>Tabela317[[#This Row],[Avançado]]*4</f>
        <v>97.872340425531917</v>
      </c>
      <c r="Q171" s="421">
        <f t="shared" si="12"/>
        <v>247.87234042553192</v>
      </c>
      <c r="R171" s="455">
        <f>Tabela317[[#This Row],[Participação]]*100</f>
        <v>94</v>
      </c>
      <c r="S171" s="422">
        <f t="shared" si="15"/>
        <v>247.87234042553192</v>
      </c>
      <c r="T171" s="422">
        <f>Tabela317[[#This Row],[META 2024]]*0.65</f>
        <v>154.74082000000001</v>
      </c>
      <c r="U171" s="421">
        <v>238.06280000000001</v>
      </c>
      <c r="V171" s="422">
        <f t="shared" si="13"/>
        <v>1.1177305247130698</v>
      </c>
      <c r="W171" s="422">
        <f t="shared" si="16"/>
        <v>1</v>
      </c>
    </row>
    <row r="172" spans="1:23">
      <c r="A172" s="456">
        <v>219</v>
      </c>
      <c r="B172" s="457" t="s">
        <v>80</v>
      </c>
      <c r="C172" s="418">
        <v>9</v>
      </c>
      <c r="D172" s="418">
        <v>19</v>
      </c>
      <c r="E172" s="418">
        <v>22</v>
      </c>
      <c r="F172" s="418">
        <v>18</v>
      </c>
      <c r="G172" s="454">
        <f t="shared" si="14"/>
        <v>68</v>
      </c>
      <c r="H172" s="420">
        <v>0.97140000000000004</v>
      </c>
      <c r="I172" s="421">
        <f>Tabela317[[#This Row],[TOTAL ALUNOS ABAIXO DO BASICO]]/Tabela317[[#This Row],[TOTAL DE ALUNOS]]*100</f>
        <v>13.23529411764706</v>
      </c>
      <c r="J172" s="421">
        <f>Tabela317[[#This Row],[Abaixo do Básico]]*1</f>
        <v>13.23529411764706</v>
      </c>
      <c r="K172" s="421">
        <f>Tabela317[[#This Row],[TOTAL ALUNOS DO BASICO]]/Tabela317[[#This Row],[TOTAL DE ALUNOS]]*100</f>
        <v>27.941176470588236</v>
      </c>
      <c r="L172" s="421">
        <f>Tabela317[[#This Row],[Básico]]*2</f>
        <v>55.882352941176471</v>
      </c>
      <c r="M172" s="421">
        <f>Tabela317[[#This Row],[TOTAL ALUNOS ADEQUADO]]/Tabela317[[#This Row],[TOTAL DE ALUNOS]]*100</f>
        <v>32.352941176470587</v>
      </c>
      <c r="N172" s="421">
        <f>Tabela317[[#This Row],[Adequado]]*3</f>
        <v>97.058823529411768</v>
      </c>
      <c r="O172" s="421">
        <f>Tabela317[[#This Row],[TOTAL DE ALUNOS AVANÇADO]]/Tabela317[[#This Row],[TOTAL DE ALUNOS]]*100</f>
        <v>26.47058823529412</v>
      </c>
      <c r="P172" s="421">
        <f>Tabela317[[#This Row],[Avançado]]*4</f>
        <v>105.88235294117648</v>
      </c>
      <c r="Q172" s="421">
        <f t="shared" si="12"/>
        <v>272.05882352941177</v>
      </c>
      <c r="R172" s="455">
        <f>Tabela317[[#This Row],[Participação]]*100</f>
        <v>97.14</v>
      </c>
      <c r="S172" s="422">
        <f t="shared" si="15"/>
        <v>272.05882352941177</v>
      </c>
      <c r="T172" s="422">
        <f>Tabela317[[#This Row],[META 2024]]*0.65</f>
        <v>186.24755500000001</v>
      </c>
      <c r="U172" s="421">
        <v>286.53469999999999</v>
      </c>
      <c r="V172" s="422">
        <f t="shared" si="13"/>
        <v>0.85565571269789142</v>
      </c>
      <c r="W172" s="422">
        <f>IF(V172&lt;0,0,IF(V172&lt;=1,V172,1))</f>
        <v>0.85565571269789142</v>
      </c>
    </row>
    <row r="173" spans="1:23">
      <c r="A173" s="456">
        <v>220</v>
      </c>
      <c r="B173" s="457" t="s">
        <v>50</v>
      </c>
      <c r="C173" s="418">
        <v>70</v>
      </c>
      <c r="D173" s="418">
        <v>65</v>
      </c>
      <c r="E173" s="418">
        <v>65</v>
      </c>
      <c r="F173" s="418">
        <v>55</v>
      </c>
      <c r="G173" s="454">
        <f t="shared" si="14"/>
        <v>255</v>
      </c>
      <c r="H173" s="420">
        <v>0.93410000000000004</v>
      </c>
      <c r="I173" s="421">
        <f>Tabela317[[#This Row],[TOTAL ALUNOS ABAIXO DO BASICO]]/Tabela317[[#This Row],[TOTAL DE ALUNOS]]*100</f>
        <v>27.450980392156865</v>
      </c>
      <c r="J173" s="421">
        <f>Tabela317[[#This Row],[Abaixo do Básico]]*1</f>
        <v>27.450980392156865</v>
      </c>
      <c r="K173" s="421">
        <f>Tabela317[[#This Row],[TOTAL ALUNOS DO BASICO]]/Tabela317[[#This Row],[TOTAL DE ALUNOS]]*100</f>
        <v>25.490196078431371</v>
      </c>
      <c r="L173" s="421">
        <f>Tabela317[[#This Row],[Básico]]*2</f>
        <v>50.980392156862742</v>
      </c>
      <c r="M173" s="421">
        <f>Tabela317[[#This Row],[TOTAL ALUNOS ADEQUADO]]/Tabela317[[#This Row],[TOTAL DE ALUNOS]]*100</f>
        <v>25.490196078431371</v>
      </c>
      <c r="N173" s="421">
        <f>Tabela317[[#This Row],[Adequado]]*3</f>
        <v>76.470588235294116</v>
      </c>
      <c r="O173" s="421">
        <f>Tabela317[[#This Row],[TOTAL DE ALUNOS AVANÇADO]]/Tabela317[[#This Row],[TOTAL DE ALUNOS]]*100</f>
        <v>21.568627450980394</v>
      </c>
      <c r="P173" s="421">
        <f>Tabela317[[#This Row],[Avançado]]*4</f>
        <v>86.274509803921575</v>
      </c>
      <c r="Q173" s="421">
        <f t="shared" si="12"/>
        <v>241.1764705882353</v>
      </c>
      <c r="R173" s="455">
        <f>Tabela317[[#This Row],[Participação]]*100</f>
        <v>93.410000000000011</v>
      </c>
      <c r="S173" s="422">
        <f t="shared" si="15"/>
        <v>241.1764705882353</v>
      </c>
      <c r="T173" s="422">
        <f>Tabela317[[#This Row],[META 2024]]*0.65</f>
        <v>155.57600500000001</v>
      </c>
      <c r="U173" s="421">
        <v>239.3477</v>
      </c>
      <c r="V173" s="422">
        <f t="shared" si="13"/>
        <v>1.0218304116710937</v>
      </c>
      <c r="W173" s="422">
        <f t="shared" ref="W173:W227" si="17">IF(V173&lt;0,0,IF(V173&lt;=1,V173,1))</f>
        <v>1</v>
      </c>
    </row>
    <row r="174" spans="1:23">
      <c r="A174" s="456">
        <v>221</v>
      </c>
      <c r="B174" s="457" t="s">
        <v>91</v>
      </c>
      <c r="C174" s="418">
        <v>41</v>
      </c>
      <c r="D174" s="418">
        <v>36</v>
      </c>
      <c r="E174" s="418">
        <v>46</v>
      </c>
      <c r="F174" s="418">
        <v>31</v>
      </c>
      <c r="G174" s="454">
        <f t="shared" si="14"/>
        <v>154</v>
      </c>
      <c r="H174" s="420">
        <v>0.99350000000000005</v>
      </c>
      <c r="I174" s="421">
        <f>Tabela317[[#This Row],[TOTAL ALUNOS ABAIXO DO BASICO]]/Tabela317[[#This Row],[TOTAL DE ALUNOS]]*100</f>
        <v>26.623376623376622</v>
      </c>
      <c r="J174" s="421">
        <f>Tabela317[[#This Row],[Abaixo do Básico]]*1</f>
        <v>26.623376623376622</v>
      </c>
      <c r="K174" s="421">
        <f>Tabela317[[#This Row],[TOTAL ALUNOS DO BASICO]]/Tabela317[[#This Row],[TOTAL DE ALUNOS]]*100</f>
        <v>23.376623376623375</v>
      </c>
      <c r="L174" s="421">
        <f>Tabela317[[#This Row],[Básico]]*2</f>
        <v>46.753246753246749</v>
      </c>
      <c r="M174" s="421">
        <f>Tabela317[[#This Row],[TOTAL ALUNOS ADEQUADO]]/Tabela317[[#This Row],[TOTAL DE ALUNOS]]*100</f>
        <v>29.870129870129869</v>
      </c>
      <c r="N174" s="421">
        <f>Tabela317[[#This Row],[Adequado]]*3</f>
        <v>89.610389610389603</v>
      </c>
      <c r="O174" s="421">
        <f>Tabela317[[#This Row],[TOTAL DE ALUNOS AVANÇADO]]/Tabela317[[#This Row],[TOTAL DE ALUNOS]]*100</f>
        <v>20.129870129870131</v>
      </c>
      <c r="P174" s="421">
        <f>Tabela317[[#This Row],[Avançado]]*4</f>
        <v>80.519480519480524</v>
      </c>
      <c r="Q174" s="421">
        <f t="shared" si="12"/>
        <v>243.50649350649348</v>
      </c>
      <c r="R174" s="455">
        <f>Tabela317[[#This Row],[Participação]]*100</f>
        <v>99.350000000000009</v>
      </c>
      <c r="S174" s="422">
        <f t="shared" si="15"/>
        <v>243.50649350649348</v>
      </c>
      <c r="T174" s="422">
        <f>Tabela317[[#This Row],[META 2024]]*0.65</f>
        <v>177.96883000000003</v>
      </c>
      <c r="U174" s="421">
        <v>273.79820000000001</v>
      </c>
      <c r="V174" s="422">
        <f t="shared" si="13"/>
        <v>0.68389955507892286</v>
      </c>
      <c r="W174" s="422">
        <f t="shared" si="17"/>
        <v>0.68389955507892286</v>
      </c>
    </row>
    <row r="175" spans="1:23">
      <c r="A175" s="456">
        <v>222</v>
      </c>
      <c r="B175" s="457" t="s">
        <v>46</v>
      </c>
      <c r="C175" s="418">
        <v>23</v>
      </c>
      <c r="D175" s="418">
        <v>38</v>
      </c>
      <c r="E175" s="418">
        <v>35</v>
      </c>
      <c r="F175" s="418">
        <v>38</v>
      </c>
      <c r="G175" s="454">
        <f t="shared" si="14"/>
        <v>134</v>
      </c>
      <c r="H175" s="420">
        <v>0.90539999999999998</v>
      </c>
      <c r="I175" s="421">
        <f>Tabela317[[#This Row],[TOTAL ALUNOS ABAIXO DO BASICO]]/Tabela317[[#This Row],[TOTAL DE ALUNOS]]*100</f>
        <v>17.164179104477611</v>
      </c>
      <c r="J175" s="421">
        <f>Tabela317[[#This Row],[Abaixo do Básico]]*1</f>
        <v>17.164179104477611</v>
      </c>
      <c r="K175" s="421">
        <f>Tabela317[[#This Row],[TOTAL ALUNOS DO BASICO]]/Tabela317[[#This Row],[TOTAL DE ALUNOS]]*100</f>
        <v>28.35820895522388</v>
      </c>
      <c r="L175" s="421">
        <f>Tabela317[[#This Row],[Básico]]*2</f>
        <v>56.71641791044776</v>
      </c>
      <c r="M175" s="421">
        <f>Tabela317[[#This Row],[TOTAL ALUNOS ADEQUADO]]/Tabela317[[#This Row],[TOTAL DE ALUNOS]]*100</f>
        <v>26.119402985074625</v>
      </c>
      <c r="N175" s="421">
        <f>Tabela317[[#This Row],[Adequado]]*3</f>
        <v>78.358208955223873</v>
      </c>
      <c r="O175" s="421">
        <f>Tabela317[[#This Row],[TOTAL DE ALUNOS AVANÇADO]]/Tabela317[[#This Row],[TOTAL DE ALUNOS]]*100</f>
        <v>28.35820895522388</v>
      </c>
      <c r="P175" s="421">
        <f>Tabela317[[#This Row],[Avançado]]*4</f>
        <v>113.43283582089552</v>
      </c>
      <c r="Q175" s="421">
        <f t="shared" si="12"/>
        <v>265.67164179104475</v>
      </c>
      <c r="R175" s="455">
        <f>Tabela317[[#This Row],[Participação]]*100</f>
        <v>90.539999999999992</v>
      </c>
      <c r="S175" s="422">
        <f t="shared" si="15"/>
        <v>265.67164179104475</v>
      </c>
      <c r="T175" s="422">
        <f>Tabela317[[#This Row],[META 2024]]*0.65</f>
        <v>169.08177000000003</v>
      </c>
      <c r="U175" s="421">
        <v>260.12580000000003</v>
      </c>
      <c r="V175" s="422">
        <f t="shared" si="13"/>
        <v>1.0609138434562346</v>
      </c>
      <c r="W175" s="422">
        <f t="shared" si="17"/>
        <v>1</v>
      </c>
    </row>
    <row r="176" spans="1:23">
      <c r="A176" s="456">
        <v>223</v>
      </c>
      <c r="B176" s="457" t="s">
        <v>54</v>
      </c>
      <c r="C176" s="418">
        <v>13</v>
      </c>
      <c r="D176" s="418">
        <v>16</v>
      </c>
      <c r="E176" s="418">
        <v>16</v>
      </c>
      <c r="F176" s="418">
        <v>25</v>
      </c>
      <c r="G176" s="454">
        <f t="shared" si="14"/>
        <v>70</v>
      </c>
      <c r="H176" s="420">
        <v>0.875</v>
      </c>
      <c r="I176" s="421">
        <f>Tabela317[[#This Row],[TOTAL ALUNOS ABAIXO DO BASICO]]/Tabela317[[#This Row],[TOTAL DE ALUNOS]]*100</f>
        <v>18.571428571428573</v>
      </c>
      <c r="J176" s="421">
        <f>Tabela317[[#This Row],[Abaixo do Básico]]*1</f>
        <v>18.571428571428573</v>
      </c>
      <c r="K176" s="421">
        <f>Tabela317[[#This Row],[TOTAL ALUNOS DO BASICO]]/Tabela317[[#This Row],[TOTAL DE ALUNOS]]*100</f>
        <v>22.857142857142858</v>
      </c>
      <c r="L176" s="421">
        <f>Tabela317[[#This Row],[Básico]]*2</f>
        <v>45.714285714285715</v>
      </c>
      <c r="M176" s="421">
        <f>Tabela317[[#This Row],[TOTAL ALUNOS ADEQUADO]]/Tabela317[[#This Row],[TOTAL DE ALUNOS]]*100</f>
        <v>22.857142857142858</v>
      </c>
      <c r="N176" s="421">
        <f>Tabela317[[#This Row],[Adequado]]*3</f>
        <v>68.571428571428569</v>
      </c>
      <c r="O176" s="421">
        <f>Tabela317[[#This Row],[TOTAL DE ALUNOS AVANÇADO]]/Tabela317[[#This Row],[TOTAL DE ALUNOS]]*100</f>
        <v>35.714285714285715</v>
      </c>
      <c r="P176" s="421">
        <f>Tabela317[[#This Row],[Avançado]]*4</f>
        <v>142.85714285714286</v>
      </c>
      <c r="Q176" s="421">
        <f t="shared" si="12"/>
        <v>275.71428571428572</v>
      </c>
      <c r="R176" s="455">
        <f>Tabela317[[#This Row],[Participação]]*100</f>
        <v>87.5</v>
      </c>
      <c r="S176" s="422">
        <f t="shared" si="15"/>
        <v>275.71428571428572</v>
      </c>
      <c r="T176" s="422">
        <f>Tabela317[[#This Row],[META 2024]]*0.65</f>
        <v>190.62147000000002</v>
      </c>
      <c r="U176" s="421">
        <v>293.2638</v>
      </c>
      <c r="V176" s="422">
        <f t="shared" si="13"/>
        <v>0.82902264313646934</v>
      </c>
      <c r="W176" s="422">
        <f t="shared" si="17"/>
        <v>0.82902264313646934</v>
      </c>
    </row>
    <row r="177" spans="1:23">
      <c r="A177" s="456">
        <v>224</v>
      </c>
      <c r="B177" s="457" t="s">
        <v>165</v>
      </c>
      <c r="C177" s="418">
        <v>53</v>
      </c>
      <c r="D177" s="418">
        <v>29</v>
      </c>
      <c r="E177" s="418">
        <v>37</v>
      </c>
      <c r="F177" s="418">
        <v>23</v>
      </c>
      <c r="G177" s="454">
        <f t="shared" si="14"/>
        <v>142</v>
      </c>
      <c r="H177" s="420">
        <v>0.9103</v>
      </c>
      <c r="I177" s="421">
        <f>Tabela317[[#This Row],[TOTAL ALUNOS ABAIXO DO BASICO]]/Tabela317[[#This Row],[TOTAL DE ALUNOS]]*100</f>
        <v>37.323943661971832</v>
      </c>
      <c r="J177" s="421">
        <f>Tabela317[[#This Row],[Abaixo do Básico]]*1</f>
        <v>37.323943661971832</v>
      </c>
      <c r="K177" s="421">
        <f>Tabela317[[#This Row],[TOTAL ALUNOS DO BASICO]]/Tabela317[[#This Row],[TOTAL DE ALUNOS]]*100</f>
        <v>20.422535211267608</v>
      </c>
      <c r="L177" s="421">
        <f>Tabela317[[#This Row],[Básico]]*2</f>
        <v>40.845070422535215</v>
      </c>
      <c r="M177" s="421">
        <f>Tabela317[[#This Row],[TOTAL ALUNOS ADEQUADO]]/Tabela317[[#This Row],[TOTAL DE ALUNOS]]*100</f>
        <v>26.056338028169012</v>
      </c>
      <c r="N177" s="421">
        <f>Tabela317[[#This Row],[Adequado]]*3</f>
        <v>78.16901408450704</v>
      </c>
      <c r="O177" s="421">
        <f>Tabela317[[#This Row],[TOTAL DE ALUNOS AVANÇADO]]/Tabela317[[#This Row],[TOTAL DE ALUNOS]]*100</f>
        <v>16.197183098591552</v>
      </c>
      <c r="P177" s="421">
        <f>Tabela317[[#This Row],[Avançado]]*4</f>
        <v>64.788732394366207</v>
      </c>
      <c r="Q177" s="421">
        <f t="shared" si="12"/>
        <v>221.12676056338029</v>
      </c>
      <c r="R177" s="455">
        <f>Tabela317[[#This Row],[Participação]]*100</f>
        <v>91.03</v>
      </c>
      <c r="S177" s="422">
        <f t="shared" si="15"/>
        <v>221.12676056338029</v>
      </c>
      <c r="T177" s="422">
        <f>Tabela317[[#This Row],[META 2024]]*0.65</f>
        <v>156.71922500000002</v>
      </c>
      <c r="U177" s="421">
        <v>241.10650000000001</v>
      </c>
      <c r="V177" s="422">
        <f t="shared" si="13"/>
        <v>0.76323753271308115</v>
      </c>
      <c r="W177" s="422">
        <f t="shared" si="17"/>
        <v>0.76323753271308115</v>
      </c>
    </row>
    <row r="178" spans="1:23">
      <c r="A178" s="456">
        <v>225</v>
      </c>
      <c r="B178" s="457" t="s">
        <v>117</v>
      </c>
      <c r="C178" s="418">
        <v>32</v>
      </c>
      <c r="D178" s="418">
        <v>28</v>
      </c>
      <c r="E178" s="418">
        <v>26</v>
      </c>
      <c r="F178" s="418">
        <v>22</v>
      </c>
      <c r="G178" s="454">
        <f t="shared" si="14"/>
        <v>108</v>
      </c>
      <c r="H178" s="420">
        <v>0.95579999999999998</v>
      </c>
      <c r="I178" s="421">
        <f>Tabela317[[#This Row],[TOTAL ALUNOS ABAIXO DO BASICO]]/Tabela317[[#This Row],[TOTAL DE ALUNOS]]*100</f>
        <v>29.629629629629626</v>
      </c>
      <c r="J178" s="421">
        <f>Tabela317[[#This Row],[Abaixo do Básico]]*1</f>
        <v>29.629629629629626</v>
      </c>
      <c r="K178" s="421">
        <f>Tabela317[[#This Row],[TOTAL ALUNOS DO BASICO]]/Tabela317[[#This Row],[TOTAL DE ALUNOS]]*100</f>
        <v>25.925925925925924</v>
      </c>
      <c r="L178" s="421">
        <f>Tabela317[[#This Row],[Básico]]*2</f>
        <v>51.851851851851848</v>
      </c>
      <c r="M178" s="421">
        <f>Tabela317[[#This Row],[TOTAL ALUNOS ADEQUADO]]/Tabela317[[#This Row],[TOTAL DE ALUNOS]]*100</f>
        <v>24.074074074074073</v>
      </c>
      <c r="N178" s="421">
        <f>Tabela317[[#This Row],[Adequado]]*3</f>
        <v>72.222222222222214</v>
      </c>
      <c r="O178" s="421">
        <f>Tabela317[[#This Row],[TOTAL DE ALUNOS AVANÇADO]]/Tabela317[[#This Row],[TOTAL DE ALUNOS]]*100</f>
        <v>20.37037037037037</v>
      </c>
      <c r="P178" s="421">
        <f>Tabela317[[#This Row],[Avançado]]*4</f>
        <v>81.481481481481481</v>
      </c>
      <c r="Q178" s="421">
        <f t="shared" si="12"/>
        <v>235.18518518518516</v>
      </c>
      <c r="R178" s="455">
        <f>Tabela317[[#This Row],[Participação]]*100</f>
        <v>95.58</v>
      </c>
      <c r="S178" s="422">
        <f t="shared" si="15"/>
        <v>235.18518518518516</v>
      </c>
      <c r="T178" s="422">
        <f>Tabela317[[#This Row],[META 2024]]*0.65</f>
        <v>175.65580500000002</v>
      </c>
      <c r="U178" s="421">
        <v>270.23970000000003</v>
      </c>
      <c r="V178" s="422">
        <f t="shared" si="13"/>
        <v>0.62938177990222477</v>
      </c>
      <c r="W178" s="422">
        <f t="shared" si="17"/>
        <v>0.62938177990222477</v>
      </c>
    </row>
    <row r="179" spans="1:23">
      <c r="A179" s="456">
        <v>226</v>
      </c>
      <c r="B179" s="457" t="s">
        <v>209</v>
      </c>
      <c r="C179" s="418">
        <v>59</v>
      </c>
      <c r="D179" s="418">
        <v>43</v>
      </c>
      <c r="E179" s="418">
        <v>30</v>
      </c>
      <c r="F179" s="418">
        <v>14</v>
      </c>
      <c r="G179" s="454">
        <f t="shared" si="14"/>
        <v>146</v>
      </c>
      <c r="H179" s="420">
        <v>0.87429999999999997</v>
      </c>
      <c r="I179" s="421">
        <f>Tabela317[[#This Row],[TOTAL ALUNOS ABAIXO DO BASICO]]/Tabela317[[#This Row],[TOTAL DE ALUNOS]]*100</f>
        <v>40.410958904109592</v>
      </c>
      <c r="J179" s="421">
        <f>Tabela317[[#This Row],[Abaixo do Básico]]*1</f>
        <v>40.410958904109592</v>
      </c>
      <c r="K179" s="421">
        <f>Tabela317[[#This Row],[TOTAL ALUNOS DO BASICO]]/Tabela317[[#This Row],[TOTAL DE ALUNOS]]*100</f>
        <v>29.452054794520549</v>
      </c>
      <c r="L179" s="421">
        <f>Tabela317[[#This Row],[Básico]]*2</f>
        <v>58.904109589041099</v>
      </c>
      <c r="M179" s="421">
        <f>Tabela317[[#This Row],[TOTAL ALUNOS ADEQUADO]]/Tabela317[[#This Row],[TOTAL DE ALUNOS]]*100</f>
        <v>20.547945205479451</v>
      </c>
      <c r="N179" s="421">
        <f>Tabela317[[#This Row],[Adequado]]*3</f>
        <v>61.643835616438352</v>
      </c>
      <c r="O179" s="421">
        <f>Tabela317[[#This Row],[TOTAL DE ALUNOS AVANÇADO]]/Tabela317[[#This Row],[TOTAL DE ALUNOS]]*100</f>
        <v>9.5890410958904102</v>
      </c>
      <c r="P179" s="421">
        <f>Tabela317[[#This Row],[Avançado]]*4</f>
        <v>38.356164383561641</v>
      </c>
      <c r="Q179" s="421">
        <f t="shared" si="12"/>
        <v>199.31506849315068</v>
      </c>
      <c r="R179" s="455">
        <f>Tabela317[[#This Row],[Participação]]*100</f>
        <v>87.429999999999993</v>
      </c>
      <c r="S179" s="422">
        <f t="shared" si="15"/>
        <v>199.31506849315068</v>
      </c>
      <c r="T179" s="422">
        <f>Tabela317[[#This Row],[META 2024]]*0.65</f>
        <v>154.131575</v>
      </c>
      <c r="U179" s="421">
        <v>237.12549999999999</v>
      </c>
      <c r="V179" s="422">
        <f t="shared" si="13"/>
        <v>0.54441928723277866</v>
      </c>
      <c r="W179" s="422">
        <f t="shared" si="17"/>
        <v>0.54441928723277866</v>
      </c>
    </row>
    <row r="180" spans="1:23">
      <c r="A180" s="456">
        <v>227</v>
      </c>
      <c r="B180" s="457" t="s">
        <v>30</v>
      </c>
      <c r="C180" s="418">
        <v>54</v>
      </c>
      <c r="D180" s="418">
        <v>51</v>
      </c>
      <c r="E180" s="418">
        <v>50</v>
      </c>
      <c r="F180" s="418">
        <v>41</v>
      </c>
      <c r="G180" s="454">
        <f t="shared" si="14"/>
        <v>196</v>
      </c>
      <c r="H180" s="420">
        <v>0.89500000000000002</v>
      </c>
      <c r="I180" s="421">
        <f>Tabela317[[#This Row],[TOTAL ALUNOS ABAIXO DO BASICO]]/Tabela317[[#This Row],[TOTAL DE ALUNOS]]*100</f>
        <v>27.551020408163261</v>
      </c>
      <c r="J180" s="421">
        <f>Tabela317[[#This Row],[Abaixo do Básico]]*1</f>
        <v>27.551020408163261</v>
      </c>
      <c r="K180" s="421">
        <f>Tabela317[[#This Row],[TOTAL ALUNOS DO BASICO]]/Tabela317[[#This Row],[TOTAL DE ALUNOS]]*100</f>
        <v>26.020408163265309</v>
      </c>
      <c r="L180" s="421">
        <f>Tabela317[[#This Row],[Básico]]*2</f>
        <v>52.040816326530617</v>
      </c>
      <c r="M180" s="421">
        <f>Tabela317[[#This Row],[TOTAL ALUNOS ADEQUADO]]/Tabela317[[#This Row],[TOTAL DE ALUNOS]]*100</f>
        <v>25.510204081632654</v>
      </c>
      <c r="N180" s="421">
        <f>Tabela317[[#This Row],[Adequado]]*3</f>
        <v>76.530612244897966</v>
      </c>
      <c r="O180" s="421">
        <f>Tabela317[[#This Row],[TOTAL DE ALUNOS AVANÇADO]]/Tabela317[[#This Row],[TOTAL DE ALUNOS]]*100</f>
        <v>20.918367346938776</v>
      </c>
      <c r="P180" s="421">
        <f>Tabela317[[#This Row],[Avançado]]*4</f>
        <v>83.673469387755105</v>
      </c>
      <c r="Q180" s="421">
        <f t="shared" si="12"/>
        <v>239.79591836734699</v>
      </c>
      <c r="R180" s="455">
        <f>Tabela317[[#This Row],[Participação]]*100</f>
        <v>89.5</v>
      </c>
      <c r="S180" s="422">
        <f t="shared" si="15"/>
        <v>239.79591836734699</v>
      </c>
      <c r="T180" s="422">
        <f>Tabela317[[#This Row],[META 2024]]*0.65</f>
        <v>153.52187499999999</v>
      </c>
      <c r="U180" s="421">
        <v>236.1875</v>
      </c>
      <c r="V180" s="422">
        <f t="shared" si="13"/>
        <v>1.0436507722205812</v>
      </c>
      <c r="W180" s="422">
        <f t="shared" si="17"/>
        <v>1</v>
      </c>
    </row>
    <row r="181" spans="1:23">
      <c r="A181" s="456">
        <v>228</v>
      </c>
      <c r="B181" s="457" t="s">
        <v>47</v>
      </c>
      <c r="C181" s="418">
        <v>61</v>
      </c>
      <c r="D181" s="418">
        <v>40</v>
      </c>
      <c r="E181" s="418">
        <v>37</v>
      </c>
      <c r="F181" s="418">
        <v>25</v>
      </c>
      <c r="G181" s="454">
        <f t="shared" si="14"/>
        <v>163</v>
      </c>
      <c r="H181" s="420">
        <v>0.88109999999999999</v>
      </c>
      <c r="I181" s="421">
        <f>Tabela317[[#This Row],[TOTAL ALUNOS ABAIXO DO BASICO]]/Tabela317[[#This Row],[TOTAL DE ALUNOS]]*100</f>
        <v>37.423312883435585</v>
      </c>
      <c r="J181" s="421">
        <f>Tabela317[[#This Row],[Abaixo do Básico]]*1</f>
        <v>37.423312883435585</v>
      </c>
      <c r="K181" s="421">
        <f>Tabela317[[#This Row],[TOTAL ALUNOS DO BASICO]]/Tabela317[[#This Row],[TOTAL DE ALUNOS]]*100</f>
        <v>24.539877300613497</v>
      </c>
      <c r="L181" s="421">
        <f>Tabela317[[#This Row],[Básico]]*2</f>
        <v>49.079754601226995</v>
      </c>
      <c r="M181" s="421">
        <f>Tabela317[[#This Row],[TOTAL ALUNOS ADEQUADO]]/Tabela317[[#This Row],[TOTAL DE ALUNOS]]*100</f>
        <v>22.699386503067483</v>
      </c>
      <c r="N181" s="421">
        <f>Tabela317[[#This Row],[Adequado]]*3</f>
        <v>68.098159509202446</v>
      </c>
      <c r="O181" s="421">
        <f>Tabela317[[#This Row],[TOTAL DE ALUNOS AVANÇADO]]/Tabela317[[#This Row],[TOTAL DE ALUNOS]]*100</f>
        <v>15.337423312883436</v>
      </c>
      <c r="P181" s="421">
        <f>Tabela317[[#This Row],[Avançado]]*4</f>
        <v>61.349693251533743</v>
      </c>
      <c r="Q181" s="421">
        <f t="shared" ref="Q181:Q213" si="18">SUM(J181,L181,N181,P181)</f>
        <v>215.95092024539878</v>
      </c>
      <c r="R181" s="455">
        <f>Tabela317[[#This Row],[Participação]]*100</f>
        <v>88.11</v>
      </c>
      <c r="S181" s="422">
        <f t="shared" si="15"/>
        <v>215.95092024539878</v>
      </c>
      <c r="T181" s="422">
        <f>Tabela317[[#This Row],[META 2024]]*0.65</f>
        <v>163.15935999999999</v>
      </c>
      <c r="U181" s="421">
        <v>251.01439999999999</v>
      </c>
      <c r="V181" s="422">
        <f t="shared" si="13"/>
        <v>0.60089392988038914</v>
      </c>
      <c r="W181" s="422">
        <f t="shared" si="17"/>
        <v>0.60089392988038914</v>
      </c>
    </row>
    <row r="182" spans="1:23">
      <c r="A182" s="456">
        <v>229</v>
      </c>
      <c r="B182" s="457" t="s">
        <v>151</v>
      </c>
      <c r="C182" s="418">
        <v>48</v>
      </c>
      <c r="D182" s="418">
        <v>22</v>
      </c>
      <c r="E182" s="418">
        <v>39</v>
      </c>
      <c r="F182" s="418">
        <v>27</v>
      </c>
      <c r="G182" s="454">
        <f t="shared" si="14"/>
        <v>136</v>
      </c>
      <c r="H182" s="420">
        <v>0.85529999999999995</v>
      </c>
      <c r="I182" s="421">
        <f>Tabela317[[#This Row],[TOTAL ALUNOS ABAIXO DO BASICO]]/Tabela317[[#This Row],[TOTAL DE ALUNOS]]*100</f>
        <v>35.294117647058826</v>
      </c>
      <c r="J182" s="421">
        <f>Tabela317[[#This Row],[Abaixo do Básico]]*1</f>
        <v>35.294117647058826</v>
      </c>
      <c r="K182" s="421">
        <f>Tabela317[[#This Row],[TOTAL ALUNOS DO BASICO]]/Tabela317[[#This Row],[TOTAL DE ALUNOS]]*100</f>
        <v>16.176470588235293</v>
      </c>
      <c r="L182" s="421">
        <f>Tabela317[[#This Row],[Básico]]*2</f>
        <v>32.352941176470587</v>
      </c>
      <c r="M182" s="421">
        <f>Tabela317[[#This Row],[TOTAL ALUNOS ADEQUADO]]/Tabela317[[#This Row],[TOTAL DE ALUNOS]]*100</f>
        <v>28.676470588235293</v>
      </c>
      <c r="N182" s="421">
        <f>Tabela317[[#This Row],[Adequado]]*3</f>
        <v>86.029411764705884</v>
      </c>
      <c r="O182" s="421">
        <f>Tabela317[[#This Row],[TOTAL DE ALUNOS AVANÇADO]]/Tabela317[[#This Row],[TOTAL DE ALUNOS]]*100</f>
        <v>19.852941176470587</v>
      </c>
      <c r="P182" s="421">
        <f>Tabela317[[#This Row],[Avançado]]*4</f>
        <v>79.411764705882348</v>
      </c>
      <c r="Q182" s="421">
        <f t="shared" si="18"/>
        <v>233.08823529411765</v>
      </c>
      <c r="R182" s="455">
        <f>Tabela317[[#This Row],[Participação]]*100</f>
        <v>85.53</v>
      </c>
      <c r="S182" s="422">
        <f t="shared" si="15"/>
        <v>233.08823529411765</v>
      </c>
      <c r="T182" s="422">
        <f>Tabela317[[#This Row],[META 2024]]*0.65</f>
        <v>155.39420000000001</v>
      </c>
      <c r="U182" s="421">
        <v>239.06800000000001</v>
      </c>
      <c r="V182" s="422">
        <f t="shared" si="13"/>
        <v>0.92853480174340886</v>
      </c>
      <c r="W182" s="422">
        <f t="shared" si="17"/>
        <v>0.92853480174340886</v>
      </c>
    </row>
    <row r="183" spans="1:23">
      <c r="A183" s="456">
        <v>230</v>
      </c>
      <c r="B183" s="457" t="s">
        <v>141</v>
      </c>
      <c r="C183" s="418">
        <v>31</v>
      </c>
      <c r="D183" s="418">
        <v>29</v>
      </c>
      <c r="E183" s="418">
        <v>27</v>
      </c>
      <c r="F183" s="418">
        <v>21</v>
      </c>
      <c r="G183" s="454">
        <f t="shared" si="14"/>
        <v>108</v>
      </c>
      <c r="H183" s="420">
        <v>0.99080000000000001</v>
      </c>
      <c r="I183" s="421">
        <f>Tabela317[[#This Row],[TOTAL ALUNOS ABAIXO DO BASICO]]/Tabela317[[#This Row],[TOTAL DE ALUNOS]]*100</f>
        <v>28.703703703703702</v>
      </c>
      <c r="J183" s="421">
        <f>Tabela317[[#This Row],[Abaixo do Básico]]*1</f>
        <v>28.703703703703702</v>
      </c>
      <c r="K183" s="421">
        <f>Tabela317[[#This Row],[TOTAL ALUNOS DO BASICO]]/Tabela317[[#This Row],[TOTAL DE ALUNOS]]*100</f>
        <v>26.851851851851855</v>
      </c>
      <c r="L183" s="421">
        <f>Tabela317[[#This Row],[Básico]]*2</f>
        <v>53.703703703703709</v>
      </c>
      <c r="M183" s="421">
        <f>Tabela317[[#This Row],[TOTAL ALUNOS ADEQUADO]]/Tabela317[[#This Row],[TOTAL DE ALUNOS]]*100</f>
        <v>25</v>
      </c>
      <c r="N183" s="421">
        <f>Tabela317[[#This Row],[Adequado]]*3</f>
        <v>75</v>
      </c>
      <c r="O183" s="421">
        <f>Tabela317[[#This Row],[TOTAL DE ALUNOS AVANÇADO]]/Tabela317[[#This Row],[TOTAL DE ALUNOS]]*100</f>
        <v>19.444444444444446</v>
      </c>
      <c r="P183" s="421">
        <f>Tabela317[[#This Row],[Avançado]]*4</f>
        <v>77.777777777777786</v>
      </c>
      <c r="Q183" s="421">
        <f t="shared" si="18"/>
        <v>235.18518518518522</v>
      </c>
      <c r="R183" s="455">
        <f>Tabela317[[#This Row],[Participação]]*100</f>
        <v>99.08</v>
      </c>
      <c r="S183" s="422">
        <f t="shared" si="15"/>
        <v>235.18518518518522</v>
      </c>
      <c r="T183" s="422">
        <f>Tabela317[[#This Row],[META 2024]]*0.65</f>
        <v>156.15548000000001</v>
      </c>
      <c r="U183" s="421">
        <v>240.23920000000001</v>
      </c>
      <c r="V183" s="422">
        <f t="shared" si="13"/>
        <v>0.93989306354648927</v>
      </c>
      <c r="W183" s="422">
        <f t="shared" si="17"/>
        <v>0.93989306354648927</v>
      </c>
    </row>
    <row r="184" spans="1:23">
      <c r="A184" s="456">
        <v>231</v>
      </c>
      <c r="B184" s="457" t="s">
        <v>41</v>
      </c>
      <c r="C184" s="418">
        <v>68</v>
      </c>
      <c r="D184" s="418">
        <v>52</v>
      </c>
      <c r="E184" s="418">
        <v>60</v>
      </c>
      <c r="F184" s="418">
        <v>39</v>
      </c>
      <c r="G184" s="454">
        <f t="shared" si="14"/>
        <v>219</v>
      </c>
      <c r="H184" s="420">
        <v>0.97770000000000001</v>
      </c>
      <c r="I184" s="421">
        <f>Tabela317[[#This Row],[TOTAL ALUNOS ABAIXO DO BASICO]]/Tabela317[[#This Row],[TOTAL DE ALUNOS]]*100</f>
        <v>31.05022831050228</v>
      </c>
      <c r="J184" s="421">
        <f>Tabela317[[#This Row],[Abaixo do Básico]]*1</f>
        <v>31.05022831050228</v>
      </c>
      <c r="K184" s="421">
        <f>Tabela317[[#This Row],[TOTAL ALUNOS DO BASICO]]/Tabela317[[#This Row],[TOTAL DE ALUNOS]]*100</f>
        <v>23.74429223744292</v>
      </c>
      <c r="L184" s="421">
        <f>Tabela317[[#This Row],[Básico]]*2</f>
        <v>47.48858447488584</v>
      </c>
      <c r="M184" s="421">
        <f>Tabela317[[#This Row],[TOTAL ALUNOS ADEQUADO]]/Tabela317[[#This Row],[TOTAL DE ALUNOS]]*100</f>
        <v>27.397260273972602</v>
      </c>
      <c r="N184" s="421">
        <f>Tabela317[[#This Row],[Adequado]]*3</f>
        <v>82.191780821917803</v>
      </c>
      <c r="O184" s="421">
        <f>Tabela317[[#This Row],[TOTAL DE ALUNOS AVANÇADO]]/Tabela317[[#This Row],[TOTAL DE ALUNOS]]*100</f>
        <v>17.80821917808219</v>
      </c>
      <c r="P184" s="421">
        <f>Tabela317[[#This Row],[Avançado]]*4</f>
        <v>71.232876712328761</v>
      </c>
      <c r="Q184" s="421">
        <f t="shared" si="18"/>
        <v>231.96347031963469</v>
      </c>
      <c r="R184" s="455">
        <f>Tabela317[[#This Row],[Participação]]*100</f>
        <v>97.77</v>
      </c>
      <c r="S184" s="422">
        <f t="shared" si="15"/>
        <v>231.96347031963469</v>
      </c>
      <c r="T184" s="422">
        <f>Tabela317[[#This Row],[META 2024]]*0.65</f>
        <v>152.15772000000001</v>
      </c>
      <c r="U184" s="421">
        <v>234.08879999999999</v>
      </c>
      <c r="V184" s="422">
        <f t="shared" si="13"/>
        <v>0.97405954272340489</v>
      </c>
      <c r="W184" s="422">
        <f t="shared" si="17"/>
        <v>0.97405954272340489</v>
      </c>
    </row>
    <row r="185" spans="1:23">
      <c r="A185" s="456">
        <v>232</v>
      </c>
      <c r="B185" s="457" t="s">
        <v>107</v>
      </c>
      <c r="C185" s="418">
        <v>23</v>
      </c>
      <c r="D185" s="418">
        <v>31</v>
      </c>
      <c r="E185" s="418">
        <v>39</v>
      </c>
      <c r="F185" s="418">
        <v>21</v>
      </c>
      <c r="G185" s="454">
        <f t="shared" si="14"/>
        <v>114</v>
      </c>
      <c r="H185" s="420">
        <v>0.95799999999999996</v>
      </c>
      <c r="I185" s="421">
        <f>Tabela317[[#This Row],[TOTAL ALUNOS ABAIXO DO BASICO]]/Tabela317[[#This Row],[TOTAL DE ALUNOS]]*100</f>
        <v>20.175438596491226</v>
      </c>
      <c r="J185" s="421">
        <f>Tabela317[[#This Row],[Abaixo do Básico]]*1</f>
        <v>20.175438596491226</v>
      </c>
      <c r="K185" s="421">
        <f>Tabela317[[#This Row],[TOTAL ALUNOS DO BASICO]]/Tabela317[[#This Row],[TOTAL DE ALUNOS]]*100</f>
        <v>27.192982456140353</v>
      </c>
      <c r="L185" s="421">
        <f>Tabela317[[#This Row],[Básico]]*2</f>
        <v>54.385964912280706</v>
      </c>
      <c r="M185" s="421">
        <f>Tabela317[[#This Row],[TOTAL ALUNOS ADEQUADO]]/Tabela317[[#This Row],[TOTAL DE ALUNOS]]*100</f>
        <v>34.210526315789473</v>
      </c>
      <c r="N185" s="421">
        <f>Tabela317[[#This Row],[Adequado]]*3</f>
        <v>102.63157894736841</v>
      </c>
      <c r="O185" s="421">
        <f>Tabela317[[#This Row],[TOTAL DE ALUNOS AVANÇADO]]/Tabela317[[#This Row],[TOTAL DE ALUNOS]]*100</f>
        <v>18.421052631578945</v>
      </c>
      <c r="P185" s="421">
        <f>Tabela317[[#This Row],[Avançado]]*4</f>
        <v>73.68421052631578</v>
      </c>
      <c r="Q185" s="421">
        <f t="shared" si="18"/>
        <v>250.87719298245611</v>
      </c>
      <c r="R185" s="455">
        <f>Tabela317[[#This Row],[Participação]]*100</f>
        <v>95.8</v>
      </c>
      <c r="S185" s="422">
        <f t="shared" si="15"/>
        <v>250.87719298245611</v>
      </c>
      <c r="T185" s="422">
        <f>Tabela317[[#This Row],[META 2024]]*0.65</f>
        <v>169.42432000000002</v>
      </c>
      <c r="U185" s="421">
        <v>260.65280000000001</v>
      </c>
      <c r="V185" s="422">
        <f t="shared" si="13"/>
        <v>0.89284478906648557</v>
      </c>
      <c r="W185" s="422">
        <f t="shared" si="17"/>
        <v>0.89284478906648557</v>
      </c>
    </row>
    <row r="186" spans="1:23">
      <c r="A186" s="456">
        <v>233</v>
      </c>
      <c r="B186" s="457" t="s">
        <v>21</v>
      </c>
      <c r="C186" s="418">
        <v>47</v>
      </c>
      <c r="D186" s="418">
        <v>25</v>
      </c>
      <c r="E186" s="418">
        <v>17</v>
      </c>
      <c r="F186" s="418">
        <v>10</v>
      </c>
      <c r="G186" s="454">
        <f t="shared" si="14"/>
        <v>99</v>
      </c>
      <c r="H186" s="420">
        <v>0.84619999999999995</v>
      </c>
      <c r="I186" s="421">
        <f>Tabela317[[#This Row],[TOTAL ALUNOS ABAIXO DO BASICO]]/Tabela317[[#This Row],[TOTAL DE ALUNOS]]*100</f>
        <v>47.474747474747474</v>
      </c>
      <c r="J186" s="421">
        <f>Tabela317[[#This Row],[Abaixo do Básico]]*1</f>
        <v>47.474747474747474</v>
      </c>
      <c r="K186" s="421">
        <f>Tabela317[[#This Row],[TOTAL ALUNOS DO BASICO]]/Tabela317[[#This Row],[TOTAL DE ALUNOS]]*100</f>
        <v>25.252525252525253</v>
      </c>
      <c r="L186" s="421">
        <f>Tabela317[[#This Row],[Básico]]*2</f>
        <v>50.505050505050505</v>
      </c>
      <c r="M186" s="421">
        <f>Tabela317[[#This Row],[TOTAL ALUNOS ADEQUADO]]/Tabela317[[#This Row],[TOTAL DE ALUNOS]]*100</f>
        <v>17.171717171717169</v>
      </c>
      <c r="N186" s="421">
        <f>Tabela317[[#This Row],[Adequado]]*3</f>
        <v>51.515151515151508</v>
      </c>
      <c r="O186" s="421">
        <f>Tabela317[[#This Row],[TOTAL DE ALUNOS AVANÇADO]]/Tabela317[[#This Row],[TOTAL DE ALUNOS]]*100</f>
        <v>10.1010101010101</v>
      </c>
      <c r="P186" s="421">
        <f>Tabela317[[#This Row],[Avançado]]*4</f>
        <v>40.404040404040401</v>
      </c>
      <c r="Q186" s="421">
        <f t="shared" si="18"/>
        <v>189.8989898989899</v>
      </c>
      <c r="R186" s="455">
        <f>Tabela317[[#This Row],[Participação]]*100</f>
        <v>84.61999999999999</v>
      </c>
      <c r="S186" s="422">
        <f t="shared" si="15"/>
        <v>189.8989898989899</v>
      </c>
      <c r="T186" s="422">
        <f>Tabela317[[#This Row],[META 2024]]*0.65</f>
        <v>141.70370499999999</v>
      </c>
      <c r="U186" s="421">
        <v>218.00569999999999</v>
      </c>
      <c r="V186" s="422">
        <f t="shared" si="13"/>
        <v>0.6316385947574491</v>
      </c>
      <c r="W186" s="422">
        <f t="shared" si="17"/>
        <v>0.6316385947574491</v>
      </c>
    </row>
    <row r="187" spans="1:23">
      <c r="A187" s="456">
        <v>234</v>
      </c>
      <c r="B187" s="457" t="s">
        <v>170</v>
      </c>
      <c r="C187" s="418">
        <v>40</v>
      </c>
      <c r="D187" s="418">
        <v>47</v>
      </c>
      <c r="E187" s="418">
        <v>47</v>
      </c>
      <c r="F187" s="418">
        <v>36</v>
      </c>
      <c r="G187" s="454">
        <f t="shared" si="14"/>
        <v>170</v>
      </c>
      <c r="H187" s="420">
        <v>0.92390000000000005</v>
      </c>
      <c r="I187" s="421">
        <f>Tabela317[[#This Row],[TOTAL ALUNOS ABAIXO DO BASICO]]/Tabela317[[#This Row],[TOTAL DE ALUNOS]]*100</f>
        <v>23.52941176470588</v>
      </c>
      <c r="J187" s="421">
        <f>Tabela317[[#This Row],[Abaixo do Básico]]*1</f>
        <v>23.52941176470588</v>
      </c>
      <c r="K187" s="421">
        <f>Tabela317[[#This Row],[TOTAL ALUNOS DO BASICO]]/Tabela317[[#This Row],[TOTAL DE ALUNOS]]*100</f>
        <v>27.647058823529413</v>
      </c>
      <c r="L187" s="421">
        <f>Tabela317[[#This Row],[Básico]]*2</f>
        <v>55.294117647058826</v>
      </c>
      <c r="M187" s="421">
        <f>Tabela317[[#This Row],[TOTAL ALUNOS ADEQUADO]]/Tabela317[[#This Row],[TOTAL DE ALUNOS]]*100</f>
        <v>27.647058823529413</v>
      </c>
      <c r="N187" s="421">
        <f>Tabela317[[#This Row],[Adequado]]*3</f>
        <v>82.941176470588232</v>
      </c>
      <c r="O187" s="421">
        <f>Tabela317[[#This Row],[TOTAL DE ALUNOS AVANÇADO]]/Tabela317[[#This Row],[TOTAL DE ALUNOS]]*100</f>
        <v>21.176470588235293</v>
      </c>
      <c r="P187" s="421">
        <f>Tabela317[[#This Row],[Avançado]]*4</f>
        <v>84.705882352941174</v>
      </c>
      <c r="Q187" s="421">
        <f t="shared" si="18"/>
        <v>246.47058823529409</v>
      </c>
      <c r="R187" s="455">
        <f>Tabela317[[#This Row],[Participação]]*100</f>
        <v>92.39</v>
      </c>
      <c r="S187" s="422">
        <f t="shared" si="15"/>
        <v>246.47058823529409</v>
      </c>
      <c r="T187" s="422">
        <f>Tabela317[[#This Row],[META 2024]]*0.65</f>
        <v>169.945165</v>
      </c>
      <c r="U187" s="421">
        <v>261.45409999999998</v>
      </c>
      <c r="V187" s="422">
        <f t="shared" si="13"/>
        <v>0.83626176214698711</v>
      </c>
      <c r="W187" s="422">
        <f t="shared" si="17"/>
        <v>0.83626176214698711</v>
      </c>
    </row>
    <row r="188" spans="1:23">
      <c r="A188" s="456">
        <v>235</v>
      </c>
      <c r="B188" s="457" t="s">
        <v>177</v>
      </c>
      <c r="C188" s="418">
        <v>23</v>
      </c>
      <c r="D188" s="418">
        <v>20</v>
      </c>
      <c r="E188" s="418">
        <v>15</v>
      </c>
      <c r="F188" s="418">
        <v>9</v>
      </c>
      <c r="G188" s="454">
        <f t="shared" si="14"/>
        <v>67</v>
      </c>
      <c r="H188" s="420">
        <v>0.87009999999999998</v>
      </c>
      <c r="I188" s="421">
        <f>Tabela317[[#This Row],[TOTAL ALUNOS ABAIXO DO BASICO]]/Tabela317[[#This Row],[TOTAL DE ALUNOS]]*100</f>
        <v>34.328358208955223</v>
      </c>
      <c r="J188" s="421">
        <f>Tabela317[[#This Row],[Abaixo do Básico]]*1</f>
        <v>34.328358208955223</v>
      </c>
      <c r="K188" s="421">
        <f>Tabela317[[#This Row],[TOTAL ALUNOS DO BASICO]]/Tabela317[[#This Row],[TOTAL DE ALUNOS]]*100</f>
        <v>29.850746268656714</v>
      </c>
      <c r="L188" s="421">
        <f>Tabela317[[#This Row],[Básico]]*2</f>
        <v>59.701492537313428</v>
      </c>
      <c r="M188" s="421">
        <f>Tabela317[[#This Row],[TOTAL ALUNOS ADEQUADO]]/Tabela317[[#This Row],[TOTAL DE ALUNOS]]*100</f>
        <v>22.388059701492537</v>
      </c>
      <c r="N188" s="421">
        <f>Tabela317[[#This Row],[Adequado]]*3</f>
        <v>67.164179104477611</v>
      </c>
      <c r="O188" s="421">
        <f>Tabela317[[#This Row],[TOTAL DE ALUNOS AVANÇADO]]/Tabela317[[#This Row],[TOTAL DE ALUNOS]]*100</f>
        <v>13.432835820895523</v>
      </c>
      <c r="P188" s="421">
        <f>Tabela317[[#This Row],[Avançado]]*4</f>
        <v>53.731343283582092</v>
      </c>
      <c r="Q188" s="421">
        <f t="shared" si="18"/>
        <v>214.92537313432837</v>
      </c>
      <c r="R188" s="455">
        <f>Tabela317[[#This Row],[Participação]]*100</f>
        <v>87.01</v>
      </c>
      <c r="S188" s="422">
        <f t="shared" si="15"/>
        <v>214.92537313432837</v>
      </c>
      <c r="T188" s="422">
        <f>Tabela317[[#This Row],[META 2024]]*0.65</f>
        <v>162.93549999999999</v>
      </c>
      <c r="U188" s="421">
        <v>250.67</v>
      </c>
      <c r="V188" s="422">
        <f t="shared" si="13"/>
        <v>0.59258185929512774</v>
      </c>
      <c r="W188" s="422">
        <f t="shared" si="17"/>
        <v>0.59258185929512774</v>
      </c>
    </row>
    <row r="189" spans="1:23">
      <c r="A189" s="456">
        <v>236</v>
      </c>
      <c r="B189" s="457" t="s">
        <v>44</v>
      </c>
      <c r="C189" s="418">
        <v>22</v>
      </c>
      <c r="D189" s="418">
        <v>26</v>
      </c>
      <c r="E189" s="418">
        <v>15</v>
      </c>
      <c r="F189" s="418">
        <v>19</v>
      </c>
      <c r="G189" s="454">
        <f t="shared" si="14"/>
        <v>82</v>
      </c>
      <c r="H189" s="420">
        <v>0.92130000000000001</v>
      </c>
      <c r="I189" s="421">
        <f>Tabela317[[#This Row],[TOTAL ALUNOS ABAIXO DO BASICO]]/Tabela317[[#This Row],[TOTAL DE ALUNOS]]*100</f>
        <v>26.829268292682929</v>
      </c>
      <c r="J189" s="421">
        <f>Tabela317[[#This Row],[Abaixo do Básico]]*1</f>
        <v>26.829268292682929</v>
      </c>
      <c r="K189" s="421">
        <f>Tabela317[[#This Row],[TOTAL ALUNOS DO BASICO]]/Tabela317[[#This Row],[TOTAL DE ALUNOS]]*100</f>
        <v>31.707317073170731</v>
      </c>
      <c r="L189" s="421">
        <f>Tabela317[[#This Row],[Básico]]*2</f>
        <v>63.414634146341463</v>
      </c>
      <c r="M189" s="421">
        <f>Tabela317[[#This Row],[TOTAL ALUNOS ADEQUADO]]/Tabela317[[#This Row],[TOTAL DE ALUNOS]]*100</f>
        <v>18.292682926829269</v>
      </c>
      <c r="N189" s="421">
        <f>Tabela317[[#This Row],[Adequado]]*3</f>
        <v>54.878048780487802</v>
      </c>
      <c r="O189" s="421">
        <f>Tabela317[[#This Row],[TOTAL DE ALUNOS AVANÇADO]]/Tabela317[[#This Row],[TOTAL DE ALUNOS]]*100</f>
        <v>23.170731707317074</v>
      </c>
      <c r="P189" s="421">
        <f>Tabela317[[#This Row],[Avançado]]*4</f>
        <v>92.682926829268297</v>
      </c>
      <c r="Q189" s="421">
        <f t="shared" si="18"/>
        <v>237.80487804878049</v>
      </c>
      <c r="R189" s="455">
        <f>Tabela317[[#This Row],[Participação]]*100</f>
        <v>92.13</v>
      </c>
      <c r="S189" s="422">
        <f t="shared" si="15"/>
        <v>237.80487804878049</v>
      </c>
      <c r="T189" s="422">
        <f>Tabela317[[#This Row],[META 2024]]*0.65</f>
        <v>156.02691000000002</v>
      </c>
      <c r="U189" s="421">
        <v>240.04140000000001</v>
      </c>
      <c r="V189" s="422">
        <f t="shared" si="13"/>
        <v>0.97337933074140526</v>
      </c>
      <c r="W189" s="422">
        <f t="shared" si="17"/>
        <v>0.97337933074140526</v>
      </c>
    </row>
    <row r="190" spans="1:23">
      <c r="A190" s="456">
        <v>237</v>
      </c>
      <c r="B190" s="457" t="s">
        <v>109</v>
      </c>
      <c r="C190" s="418">
        <v>35</v>
      </c>
      <c r="D190" s="418">
        <v>17</v>
      </c>
      <c r="E190" s="418">
        <v>11</v>
      </c>
      <c r="F190" s="418">
        <v>3</v>
      </c>
      <c r="G190" s="454">
        <f t="shared" si="14"/>
        <v>66</v>
      </c>
      <c r="H190" s="420">
        <v>0.88</v>
      </c>
      <c r="I190" s="421">
        <f>Tabela317[[#This Row],[TOTAL ALUNOS ABAIXO DO BASICO]]/Tabela317[[#This Row],[TOTAL DE ALUNOS]]*100</f>
        <v>53.030303030303031</v>
      </c>
      <c r="J190" s="421">
        <f>Tabela317[[#This Row],[Abaixo do Básico]]*1</f>
        <v>53.030303030303031</v>
      </c>
      <c r="K190" s="421">
        <f>Tabela317[[#This Row],[TOTAL ALUNOS DO BASICO]]/Tabela317[[#This Row],[TOTAL DE ALUNOS]]*100</f>
        <v>25.757575757575758</v>
      </c>
      <c r="L190" s="421">
        <f>Tabela317[[#This Row],[Básico]]*2</f>
        <v>51.515151515151516</v>
      </c>
      <c r="M190" s="421">
        <f>Tabela317[[#This Row],[TOTAL ALUNOS ADEQUADO]]/Tabela317[[#This Row],[TOTAL DE ALUNOS]]*100</f>
        <v>16.666666666666664</v>
      </c>
      <c r="N190" s="421">
        <f>Tabela317[[#This Row],[Adequado]]*3</f>
        <v>49.999999999999993</v>
      </c>
      <c r="O190" s="421">
        <f>Tabela317[[#This Row],[TOTAL DE ALUNOS AVANÇADO]]/Tabela317[[#This Row],[TOTAL DE ALUNOS]]*100</f>
        <v>4.5454545454545459</v>
      </c>
      <c r="P190" s="421">
        <f>Tabela317[[#This Row],[Avançado]]*4</f>
        <v>18.181818181818183</v>
      </c>
      <c r="Q190" s="421">
        <f t="shared" si="18"/>
        <v>172.72727272727272</v>
      </c>
      <c r="R190" s="455">
        <f>Tabela317[[#This Row],[Participação]]*100</f>
        <v>88</v>
      </c>
      <c r="S190" s="422">
        <f t="shared" si="15"/>
        <v>172.72727272727272</v>
      </c>
      <c r="T190" s="422">
        <f>Tabela317[[#This Row],[META 2024]]*0.65</f>
        <v>108.32581500000001</v>
      </c>
      <c r="U190" s="421">
        <v>166.6551</v>
      </c>
      <c r="V190" s="422">
        <f t="shared" si="13"/>
        <v>1.1041016142624192</v>
      </c>
      <c r="W190" s="422">
        <f t="shared" si="17"/>
        <v>1</v>
      </c>
    </row>
    <row r="191" spans="1:23">
      <c r="A191" s="456">
        <v>238</v>
      </c>
      <c r="B191" s="457" t="s">
        <v>6</v>
      </c>
      <c r="C191" s="418">
        <v>23</v>
      </c>
      <c r="D191" s="418">
        <v>27</v>
      </c>
      <c r="E191" s="418">
        <v>41</v>
      </c>
      <c r="F191" s="418">
        <v>25</v>
      </c>
      <c r="G191" s="454">
        <f t="shared" si="14"/>
        <v>116</v>
      </c>
      <c r="H191" s="420">
        <v>0.99150000000000005</v>
      </c>
      <c r="I191" s="421">
        <f>Tabela317[[#This Row],[TOTAL ALUNOS ABAIXO DO BASICO]]/Tabela317[[#This Row],[TOTAL DE ALUNOS]]*100</f>
        <v>19.827586206896552</v>
      </c>
      <c r="J191" s="421">
        <f>Tabela317[[#This Row],[Abaixo do Básico]]*1</f>
        <v>19.827586206896552</v>
      </c>
      <c r="K191" s="421">
        <f>Tabela317[[#This Row],[TOTAL ALUNOS DO BASICO]]/Tabela317[[#This Row],[TOTAL DE ALUNOS]]*100</f>
        <v>23.275862068965516</v>
      </c>
      <c r="L191" s="421">
        <f>Tabela317[[#This Row],[Básico]]*2</f>
        <v>46.551724137931032</v>
      </c>
      <c r="M191" s="421">
        <f>Tabela317[[#This Row],[TOTAL ALUNOS ADEQUADO]]/Tabela317[[#This Row],[TOTAL DE ALUNOS]]*100</f>
        <v>35.344827586206897</v>
      </c>
      <c r="N191" s="421">
        <f>Tabela317[[#This Row],[Adequado]]*3</f>
        <v>106.0344827586207</v>
      </c>
      <c r="O191" s="421">
        <f>Tabela317[[#This Row],[TOTAL DE ALUNOS AVANÇADO]]/Tabela317[[#This Row],[TOTAL DE ALUNOS]]*100</f>
        <v>21.551724137931032</v>
      </c>
      <c r="P191" s="421">
        <f>Tabela317[[#This Row],[Avançado]]*4</f>
        <v>86.206896551724128</v>
      </c>
      <c r="Q191" s="421">
        <f t="shared" si="18"/>
        <v>258.62068965517244</v>
      </c>
      <c r="R191" s="455">
        <f>Tabela317[[#This Row],[Participação]]*100</f>
        <v>99.15</v>
      </c>
      <c r="S191" s="422">
        <f t="shared" si="15"/>
        <v>258.62068965517244</v>
      </c>
      <c r="T191" s="422">
        <f>Tabela317[[#This Row],[META 2024]]*0.65</f>
        <v>194.07427000000001</v>
      </c>
      <c r="U191" s="421">
        <v>298.57580000000002</v>
      </c>
      <c r="V191" s="422">
        <f t="shared" si="13"/>
        <v>0.61766004435698152</v>
      </c>
      <c r="W191" s="422">
        <f t="shared" si="17"/>
        <v>0.61766004435698152</v>
      </c>
    </row>
    <row r="192" spans="1:23">
      <c r="A192" s="456">
        <v>239</v>
      </c>
      <c r="B192" s="457" t="s">
        <v>14</v>
      </c>
      <c r="C192" s="418">
        <v>7</v>
      </c>
      <c r="D192" s="418">
        <v>13</v>
      </c>
      <c r="E192" s="418">
        <v>22</v>
      </c>
      <c r="F192" s="418">
        <v>19</v>
      </c>
      <c r="G192" s="454">
        <f t="shared" si="14"/>
        <v>61</v>
      </c>
      <c r="H192" s="420">
        <v>0.9839</v>
      </c>
      <c r="I192" s="421">
        <f>Tabela317[[#This Row],[TOTAL ALUNOS ABAIXO DO BASICO]]/Tabela317[[#This Row],[TOTAL DE ALUNOS]]*100</f>
        <v>11.475409836065573</v>
      </c>
      <c r="J192" s="421">
        <f>Tabela317[[#This Row],[Abaixo do Básico]]*1</f>
        <v>11.475409836065573</v>
      </c>
      <c r="K192" s="421">
        <f>Tabela317[[#This Row],[TOTAL ALUNOS DO BASICO]]/Tabela317[[#This Row],[TOTAL DE ALUNOS]]*100</f>
        <v>21.311475409836063</v>
      </c>
      <c r="L192" s="421">
        <f>Tabela317[[#This Row],[Básico]]*2</f>
        <v>42.622950819672127</v>
      </c>
      <c r="M192" s="421">
        <f>Tabela317[[#This Row],[TOTAL ALUNOS ADEQUADO]]/Tabela317[[#This Row],[TOTAL DE ALUNOS]]*100</f>
        <v>36.065573770491802</v>
      </c>
      <c r="N192" s="421">
        <f>Tabela317[[#This Row],[Adequado]]*3</f>
        <v>108.19672131147541</v>
      </c>
      <c r="O192" s="421">
        <f>Tabela317[[#This Row],[TOTAL DE ALUNOS AVANÇADO]]/Tabela317[[#This Row],[TOTAL DE ALUNOS]]*100</f>
        <v>31.147540983606557</v>
      </c>
      <c r="P192" s="421">
        <f>Tabela317[[#This Row],[Avançado]]*4</f>
        <v>124.59016393442623</v>
      </c>
      <c r="Q192" s="421">
        <f t="shared" si="18"/>
        <v>286.88524590163934</v>
      </c>
      <c r="R192" s="455">
        <f>Tabela317[[#This Row],[Participação]]*100</f>
        <v>98.39</v>
      </c>
      <c r="S192" s="422">
        <f t="shared" si="15"/>
        <v>286.88524590163934</v>
      </c>
      <c r="T192" s="422">
        <f>Tabela317[[#This Row],[META 2024]]*0.65</f>
        <v>185.51942499999998</v>
      </c>
      <c r="U192" s="421">
        <v>285.41449999999998</v>
      </c>
      <c r="V192" s="422">
        <f t="shared" si="13"/>
        <v>1.0147229070265913</v>
      </c>
      <c r="W192" s="422">
        <f t="shared" si="17"/>
        <v>1</v>
      </c>
    </row>
    <row r="193" spans="1:23">
      <c r="A193" s="456">
        <v>240</v>
      </c>
      <c r="B193" s="457" t="s">
        <v>164</v>
      </c>
      <c r="C193" s="418">
        <v>70</v>
      </c>
      <c r="D193" s="418">
        <v>43</v>
      </c>
      <c r="E193" s="418">
        <v>39</v>
      </c>
      <c r="F193" s="418">
        <v>23</v>
      </c>
      <c r="G193" s="454">
        <f t="shared" si="14"/>
        <v>175</v>
      </c>
      <c r="H193" s="420">
        <v>0.84130000000000005</v>
      </c>
      <c r="I193" s="421">
        <f>Tabela317[[#This Row],[TOTAL ALUNOS ABAIXO DO BASICO]]/Tabela317[[#This Row],[TOTAL DE ALUNOS]]*100</f>
        <v>40</v>
      </c>
      <c r="J193" s="421">
        <f>Tabela317[[#This Row],[Abaixo do Básico]]*1</f>
        <v>40</v>
      </c>
      <c r="K193" s="421">
        <f>Tabela317[[#This Row],[TOTAL ALUNOS DO BASICO]]/Tabela317[[#This Row],[TOTAL DE ALUNOS]]*100</f>
        <v>24.571428571428573</v>
      </c>
      <c r="L193" s="421">
        <f>Tabela317[[#This Row],[Básico]]*2</f>
        <v>49.142857142857146</v>
      </c>
      <c r="M193" s="421">
        <f>Tabela317[[#This Row],[TOTAL ALUNOS ADEQUADO]]/Tabela317[[#This Row],[TOTAL DE ALUNOS]]*100</f>
        <v>22.285714285714285</v>
      </c>
      <c r="N193" s="421">
        <f>Tabela317[[#This Row],[Adequado]]*3</f>
        <v>66.857142857142861</v>
      </c>
      <c r="O193" s="421">
        <f>Tabela317[[#This Row],[TOTAL DE ALUNOS AVANÇADO]]/Tabela317[[#This Row],[TOTAL DE ALUNOS]]*100</f>
        <v>13.142857142857142</v>
      </c>
      <c r="P193" s="421">
        <f>Tabela317[[#This Row],[Avançado]]*4</f>
        <v>52.571428571428569</v>
      </c>
      <c r="Q193" s="421">
        <f t="shared" si="18"/>
        <v>208.57142857142856</v>
      </c>
      <c r="R193" s="455">
        <f>Tabela317[[#This Row],[Participação]]*100</f>
        <v>84.13000000000001</v>
      </c>
      <c r="S193" s="422">
        <f t="shared" si="15"/>
        <v>208.57142857142856</v>
      </c>
      <c r="T193" s="422">
        <f>Tabela317[[#This Row],[META 2024]]*0.65</f>
        <v>145.189525</v>
      </c>
      <c r="U193" s="421">
        <v>223.36850000000001</v>
      </c>
      <c r="V193" s="422">
        <f t="shared" si="13"/>
        <v>0.8107282497810766</v>
      </c>
      <c r="W193" s="422">
        <f t="shared" si="17"/>
        <v>0.8107282497810766</v>
      </c>
    </row>
    <row r="194" spans="1:23">
      <c r="A194" s="456">
        <v>241</v>
      </c>
      <c r="B194" s="457" t="s">
        <v>68</v>
      </c>
      <c r="C194" s="418">
        <v>17</v>
      </c>
      <c r="D194" s="418">
        <v>11</v>
      </c>
      <c r="E194" s="418">
        <v>13</v>
      </c>
      <c r="F194" s="418">
        <v>22</v>
      </c>
      <c r="G194" s="454">
        <f t="shared" si="14"/>
        <v>63</v>
      </c>
      <c r="H194" s="420">
        <v>0.9</v>
      </c>
      <c r="I194" s="421">
        <f>Tabela317[[#This Row],[TOTAL ALUNOS ABAIXO DO BASICO]]/Tabela317[[#This Row],[TOTAL DE ALUNOS]]*100</f>
        <v>26.984126984126984</v>
      </c>
      <c r="J194" s="421">
        <f>Tabela317[[#This Row],[Abaixo do Básico]]*1</f>
        <v>26.984126984126984</v>
      </c>
      <c r="K194" s="421">
        <f>Tabela317[[#This Row],[TOTAL ALUNOS DO BASICO]]/Tabela317[[#This Row],[TOTAL DE ALUNOS]]*100</f>
        <v>17.460317460317459</v>
      </c>
      <c r="L194" s="421">
        <f>Tabela317[[#This Row],[Básico]]*2</f>
        <v>34.920634920634917</v>
      </c>
      <c r="M194" s="421">
        <f>Tabela317[[#This Row],[TOTAL ALUNOS ADEQUADO]]/Tabela317[[#This Row],[TOTAL DE ALUNOS]]*100</f>
        <v>20.634920634920633</v>
      </c>
      <c r="N194" s="421">
        <f>Tabela317[[#This Row],[Adequado]]*3</f>
        <v>61.904761904761898</v>
      </c>
      <c r="O194" s="421">
        <f>Tabela317[[#This Row],[TOTAL DE ALUNOS AVANÇADO]]/Tabela317[[#This Row],[TOTAL DE ALUNOS]]*100</f>
        <v>34.920634920634917</v>
      </c>
      <c r="P194" s="421">
        <f>Tabela317[[#This Row],[Avançado]]*4</f>
        <v>139.68253968253967</v>
      </c>
      <c r="Q194" s="421">
        <f t="shared" si="18"/>
        <v>263.49206349206349</v>
      </c>
      <c r="R194" s="455">
        <f>Tabela317[[#This Row],[Participação]]*100</f>
        <v>90</v>
      </c>
      <c r="S194" s="422">
        <f t="shared" si="15"/>
        <v>263.49206349206349</v>
      </c>
      <c r="T194" s="422">
        <f>Tabela317[[#This Row],[META 2024]]*0.65</f>
        <v>170.623245</v>
      </c>
      <c r="U194" s="421">
        <v>262.4973</v>
      </c>
      <c r="V194" s="422">
        <f t="shared" si="13"/>
        <v>1.0108274691049992</v>
      </c>
      <c r="W194" s="422">
        <f t="shared" si="17"/>
        <v>1</v>
      </c>
    </row>
    <row r="195" spans="1:23">
      <c r="A195" s="456">
        <v>242</v>
      </c>
      <c r="B195" s="457" t="s">
        <v>142</v>
      </c>
      <c r="C195" s="418">
        <v>48</v>
      </c>
      <c r="D195" s="418">
        <v>42</v>
      </c>
      <c r="E195" s="418">
        <v>50</v>
      </c>
      <c r="F195" s="418">
        <v>38</v>
      </c>
      <c r="G195" s="454">
        <f t="shared" si="14"/>
        <v>178</v>
      </c>
      <c r="H195" s="420">
        <v>0.93189999999999995</v>
      </c>
      <c r="I195" s="421">
        <f>Tabela317[[#This Row],[TOTAL ALUNOS ABAIXO DO BASICO]]/Tabela317[[#This Row],[TOTAL DE ALUNOS]]*100</f>
        <v>26.966292134831459</v>
      </c>
      <c r="J195" s="421">
        <f>Tabela317[[#This Row],[Abaixo do Básico]]*1</f>
        <v>26.966292134831459</v>
      </c>
      <c r="K195" s="421">
        <f>Tabela317[[#This Row],[TOTAL ALUNOS DO BASICO]]/Tabela317[[#This Row],[TOTAL DE ALUNOS]]*100</f>
        <v>23.595505617977526</v>
      </c>
      <c r="L195" s="421">
        <f>Tabela317[[#This Row],[Básico]]*2</f>
        <v>47.191011235955052</v>
      </c>
      <c r="M195" s="421">
        <f>Tabela317[[#This Row],[TOTAL ALUNOS ADEQUADO]]/Tabela317[[#This Row],[TOTAL DE ALUNOS]]*100</f>
        <v>28.08988764044944</v>
      </c>
      <c r="N195" s="421">
        <f>Tabela317[[#This Row],[Adequado]]*3</f>
        <v>84.269662921348328</v>
      </c>
      <c r="O195" s="421">
        <f>Tabela317[[#This Row],[TOTAL DE ALUNOS AVANÇADO]]/Tabela317[[#This Row],[TOTAL DE ALUNOS]]*100</f>
        <v>21.348314606741571</v>
      </c>
      <c r="P195" s="421">
        <f>Tabela317[[#This Row],[Avançado]]*4</f>
        <v>85.393258426966284</v>
      </c>
      <c r="Q195" s="421">
        <f t="shared" si="18"/>
        <v>243.82022471910113</v>
      </c>
      <c r="R195" s="455">
        <f>Tabela317[[#This Row],[Participação]]*100</f>
        <v>93.19</v>
      </c>
      <c r="S195" s="422">
        <f t="shared" si="15"/>
        <v>243.82022471910113</v>
      </c>
      <c r="T195" s="422">
        <f>Tabela317[[#This Row],[META 2024]]*0.65</f>
        <v>173.975685</v>
      </c>
      <c r="U195" s="421">
        <v>267.6549</v>
      </c>
      <c r="V195" s="422">
        <f t="shared" si="13"/>
        <v>0.74557135986996825</v>
      </c>
      <c r="W195" s="422">
        <f t="shared" si="17"/>
        <v>0.74557135986996825</v>
      </c>
    </row>
    <row r="196" spans="1:23">
      <c r="A196" s="456">
        <v>243</v>
      </c>
      <c r="B196" s="457" t="s">
        <v>59</v>
      </c>
      <c r="C196" s="418">
        <v>22</v>
      </c>
      <c r="D196" s="418">
        <v>20</v>
      </c>
      <c r="E196" s="418">
        <v>19</v>
      </c>
      <c r="F196" s="418">
        <v>14</v>
      </c>
      <c r="G196" s="454">
        <f t="shared" si="14"/>
        <v>75</v>
      </c>
      <c r="H196" s="420">
        <v>0.98680000000000001</v>
      </c>
      <c r="I196" s="421">
        <f>Tabela317[[#This Row],[TOTAL ALUNOS ABAIXO DO BASICO]]/Tabela317[[#This Row],[TOTAL DE ALUNOS]]*100</f>
        <v>29.333333333333332</v>
      </c>
      <c r="J196" s="421">
        <f>Tabela317[[#This Row],[Abaixo do Básico]]*1</f>
        <v>29.333333333333332</v>
      </c>
      <c r="K196" s="421">
        <f>Tabela317[[#This Row],[TOTAL ALUNOS DO BASICO]]/Tabela317[[#This Row],[TOTAL DE ALUNOS]]*100</f>
        <v>26.666666666666668</v>
      </c>
      <c r="L196" s="421">
        <f>Tabela317[[#This Row],[Básico]]*2</f>
        <v>53.333333333333336</v>
      </c>
      <c r="M196" s="421">
        <f>Tabela317[[#This Row],[TOTAL ALUNOS ADEQUADO]]/Tabela317[[#This Row],[TOTAL DE ALUNOS]]*100</f>
        <v>25.333333333333336</v>
      </c>
      <c r="N196" s="421">
        <f>Tabela317[[#This Row],[Adequado]]*3</f>
        <v>76</v>
      </c>
      <c r="O196" s="421">
        <f>Tabela317[[#This Row],[TOTAL DE ALUNOS AVANÇADO]]/Tabela317[[#This Row],[TOTAL DE ALUNOS]]*100</f>
        <v>18.666666666666668</v>
      </c>
      <c r="P196" s="421">
        <f>Tabela317[[#This Row],[Avançado]]*4</f>
        <v>74.666666666666671</v>
      </c>
      <c r="Q196" s="421">
        <f t="shared" si="18"/>
        <v>233.33333333333337</v>
      </c>
      <c r="R196" s="455">
        <f>Tabela317[[#This Row],[Participação]]*100</f>
        <v>98.68</v>
      </c>
      <c r="S196" s="422">
        <f t="shared" si="15"/>
        <v>233.33333333333337</v>
      </c>
      <c r="T196" s="422">
        <f>Tabela317[[#This Row],[META 2024]]*0.65</f>
        <v>159.20151000000001</v>
      </c>
      <c r="U196" s="421">
        <v>244.9254</v>
      </c>
      <c r="V196" s="422">
        <f t="shared" si="13"/>
        <v>0.86477437425358761</v>
      </c>
      <c r="W196" s="422">
        <f t="shared" si="17"/>
        <v>0.86477437425358761</v>
      </c>
    </row>
    <row r="197" spans="1:23">
      <c r="A197" s="456">
        <v>244</v>
      </c>
      <c r="B197" s="457" t="s">
        <v>194</v>
      </c>
      <c r="C197" s="418">
        <v>21</v>
      </c>
      <c r="D197" s="418">
        <v>27</v>
      </c>
      <c r="E197" s="418">
        <v>28</v>
      </c>
      <c r="F197" s="418">
        <v>30</v>
      </c>
      <c r="G197" s="454">
        <f t="shared" si="14"/>
        <v>106</v>
      </c>
      <c r="H197" s="420">
        <v>0.89829999999999999</v>
      </c>
      <c r="I197" s="421">
        <f>Tabela317[[#This Row],[TOTAL ALUNOS ABAIXO DO BASICO]]/Tabela317[[#This Row],[TOTAL DE ALUNOS]]*100</f>
        <v>19.811320754716981</v>
      </c>
      <c r="J197" s="421">
        <f>Tabela317[[#This Row],[Abaixo do Básico]]*1</f>
        <v>19.811320754716981</v>
      </c>
      <c r="K197" s="421">
        <f>Tabela317[[#This Row],[TOTAL ALUNOS DO BASICO]]/Tabela317[[#This Row],[TOTAL DE ALUNOS]]*100</f>
        <v>25.471698113207548</v>
      </c>
      <c r="L197" s="421">
        <f>Tabela317[[#This Row],[Básico]]*2</f>
        <v>50.943396226415096</v>
      </c>
      <c r="M197" s="421">
        <f>Tabela317[[#This Row],[TOTAL ALUNOS ADEQUADO]]/Tabela317[[#This Row],[TOTAL DE ALUNOS]]*100</f>
        <v>26.415094339622641</v>
      </c>
      <c r="N197" s="421">
        <f>Tabela317[[#This Row],[Adequado]]*3</f>
        <v>79.245283018867923</v>
      </c>
      <c r="O197" s="421">
        <f>Tabela317[[#This Row],[TOTAL DE ALUNOS AVANÇADO]]/Tabela317[[#This Row],[TOTAL DE ALUNOS]]*100</f>
        <v>28.30188679245283</v>
      </c>
      <c r="P197" s="421">
        <f>Tabela317[[#This Row],[Avançado]]*4</f>
        <v>113.20754716981132</v>
      </c>
      <c r="Q197" s="421">
        <f t="shared" si="18"/>
        <v>263.20754716981133</v>
      </c>
      <c r="R197" s="455">
        <f>Tabela317[[#This Row],[Participação]]*100</f>
        <v>89.83</v>
      </c>
      <c r="S197" s="422">
        <f t="shared" si="15"/>
        <v>263.20754716981133</v>
      </c>
      <c r="T197" s="422">
        <f>Tabela317[[#This Row],[META 2024]]*0.65</f>
        <v>165.70326500000002</v>
      </c>
      <c r="U197" s="421">
        <v>254.9281</v>
      </c>
      <c r="V197" s="422">
        <f t="shared" ref="V197:V213" si="19">1-(U197-S197)/(U197-T197)</f>
        <v>1.0927930790772695</v>
      </c>
      <c r="W197" s="422">
        <f t="shared" si="17"/>
        <v>1</v>
      </c>
    </row>
    <row r="198" spans="1:23">
      <c r="A198" s="456">
        <v>245</v>
      </c>
      <c r="B198" s="457" t="s">
        <v>681</v>
      </c>
      <c r="C198" s="418">
        <v>28</v>
      </c>
      <c r="D198" s="418">
        <v>44</v>
      </c>
      <c r="E198" s="418">
        <v>38</v>
      </c>
      <c r="F198" s="418">
        <v>34</v>
      </c>
      <c r="G198" s="454">
        <f t="shared" ref="G198:G227" si="20">SUM(C198,D198,E198,F198)</f>
        <v>144</v>
      </c>
      <c r="H198" s="420">
        <v>0.94740000000000002</v>
      </c>
      <c r="I198" s="421">
        <f>Tabela317[[#This Row],[TOTAL ALUNOS ABAIXO DO BASICO]]/Tabela317[[#This Row],[TOTAL DE ALUNOS]]*100</f>
        <v>19.444444444444446</v>
      </c>
      <c r="J198" s="421">
        <f>Tabela317[[#This Row],[Abaixo do Básico]]*1</f>
        <v>19.444444444444446</v>
      </c>
      <c r="K198" s="421">
        <f>Tabela317[[#This Row],[TOTAL ALUNOS DO BASICO]]/Tabela317[[#This Row],[TOTAL DE ALUNOS]]*100</f>
        <v>30.555555555555557</v>
      </c>
      <c r="L198" s="421">
        <f>Tabela317[[#This Row],[Básico]]*2</f>
        <v>61.111111111111114</v>
      </c>
      <c r="M198" s="421">
        <f>Tabela317[[#This Row],[TOTAL ALUNOS ADEQUADO]]/Tabela317[[#This Row],[TOTAL DE ALUNOS]]*100</f>
        <v>26.388888888888889</v>
      </c>
      <c r="N198" s="421">
        <f>Tabela317[[#This Row],[Adequado]]*3</f>
        <v>79.166666666666671</v>
      </c>
      <c r="O198" s="421">
        <f>Tabela317[[#This Row],[TOTAL DE ALUNOS AVANÇADO]]/Tabela317[[#This Row],[TOTAL DE ALUNOS]]*100</f>
        <v>23.611111111111111</v>
      </c>
      <c r="P198" s="421">
        <f>Tabela317[[#This Row],[Avançado]]*4</f>
        <v>94.444444444444443</v>
      </c>
      <c r="Q198" s="421">
        <f t="shared" si="18"/>
        <v>254.16666666666669</v>
      </c>
      <c r="R198" s="455">
        <f>Tabela317[[#This Row],[Participação]]*100</f>
        <v>94.740000000000009</v>
      </c>
      <c r="S198" s="422">
        <f t="shared" ref="S198:S213" si="21">IF(R198&gt;=$B$1,Q198,(R198*Q198)/100)</f>
        <v>254.16666666666669</v>
      </c>
      <c r="T198" s="422">
        <f>Tabela317[[#This Row],[META 2024]]*0.65</f>
        <v>176.15506999999999</v>
      </c>
      <c r="U198" s="421">
        <v>271.00779999999997</v>
      </c>
      <c r="V198" s="422">
        <f t="shared" si="19"/>
        <v>0.82244967189312002</v>
      </c>
      <c r="W198" s="422">
        <f t="shared" si="17"/>
        <v>0.82244967189312002</v>
      </c>
    </row>
    <row r="199" spans="1:23">
      <c r="A199" s="456">
        <v>246</v>
      </c>
      <c r="B199" s="457" t="s">
        <v>150</v>
      </c>
      <c r="C199" s="418">
        <v>30</v>
      </c>
      <c r="D199" s="418">
        <v>24</v>
      </c>
      <c r="E199" s="418">
        <v>22</v>
      </c>
      <c r="F199" s="418">
        <v>10</v>
      </c>
      <c r="G199" s="454">
        <f t="shared" si="20"/>
        <v>86</v>
      </c>
      <c r="H199" s="420">
        <v>0.84309999999999996</v>
      </c>
      <c r="I199" s="421">
        <f>Tabela317[[#This Row],[TOTAL ALUNOS ABAIXO DO BASICO]]/Tabela317[[#This Row],[TOTAL DE ALUNOS]]*100</f>
        <v>34.883720930232556</v>
      </c>
      <c r="J199" s="421">
        <f>Tabela317[[#This Row],[Abaixo do Básico]]*1</f>
        <v>34.883720930232556</v>
      </c>
      <c r="K199" s="421">
        <f>Tabela317[[#This Row],[TOTAL ALUNOS DO BASICO]]/Tabela317[[#This Row],[TOTAL DE ALUNOS]]*100</f>
        <v>27.906976744186046</v>
      </c>
      <c r="L199" s="421">
        <f>Tabela317[[#This Row],[Básico]]*2</f>
        <v>55.813953488372093</v>
      </c>
      <c r="M199" s="421">
        <f>Tabela317[[#This Row],[TOTAL ALUNOS ADEQUADO]]/Tabela317[[#This Row],[TOTAL DE ALUNOS]]*100</f>
        <v>25.581395348837212</v>
      </c>
      <c r="N199" s="421">
        <f>Tabela317[[#This Row],[Adequado]]*3</f>
        <v>76.744186046511629</v>
      </c>
      <c r="O199" s="421">
        <f>Tabela317[[#This Row],[TOTAL DE ALUNOS AVANÇADO]]/Tabela317[[#This Row],[TOTAL DE ALUNOS]]*100</f>
        <v>11.627906976744185</v>
      </c>
      <c r="P199" s="421">
        <f>Tabela317[[#This Row],[Avançado]]*4</f>
        <v>46.511627906976742</v>
      </c>
      <c r="Q199" s="421">
        <f t="shared" si="18"/>
        <v>213.95348837209303</v>
      </c>
      <c r="R199" s="455">
        <f>Tabela317[[#This Row],[Participação]]*100</f>
        <v>84.31</v>
      </c>
      <c r="S199" s="422">
        <f t="shared" si="21"/>
        <v>213.95348837209303</v>
      </c>
      <c r="T199" s="422">
        <f>Tabela317[[#This Row],[META 2024]]*0.65</f>
        <v>126.68981000000001</v>
      </c>
      <c r="U199" s="421">
        <v>194.9074</v>
      </c>
      <c r="V199" s="422">
        <f t="shared" si="19"/>
        <v>1.2791961482675223</v>
      </c>
      <c r="W199" s="422">
        <f t="shared" si="17"/>
        <v>1</v>
      </c>
    </row>
    <row r="200" spans="1:23">
      <c r="A200" s="456">
        <v>247</v>
      </c>
      <c r="B200" s="457" t="s">
        <v>98</v>
      </c>
      <c r="C200" s="418">
        <v>13</v>
      </c>
      <c r="D200" s="418">
        <v>25</v>
      </c>
      <c r="E200" s="418">
        <v>39</v>
      </c>
      <c r="F200" s="418">
        <v>29</v>
      </c>
      <c r="G200" s="454">
        <f t="shared" si="20"/>
        <v>106</v>
      </c>
      <c r="H200" s="420">
        <v>0.92979999999999996</v>
      </c>
      <c r="I200" s="421">
        <f>Tabela317[[#This Row],[TOTAL ALUNOS ABAIXO DO BASICO]]/Tabela317[[#This Row],[TOTAL DE ALUNOS]]*100</f>
        <v>12.264150943396226</v>
      </c>
      <c r="J200" s="421">
        <f>Tabela317[[#This Row],[Abaixo do Básico]]*1</f>
        <v>12.264150943396226</v>
      </c>
      <c r="K200" s="421">
        <f>Tabela317[[#This Row],[TOTAL ALUNOS DO BASICO]]/Tabela317[[#This Row],[TOTAL DE ALUNOS]]*100</f>
        <v>23.584905660377359</v>
      </c>
      <c r="L200" s="421">
        <f>Tabela317[[#This Row],[Básico]]*2</f>
        <v>47.169811320754718</v>
      </c>
      <c r="M200" s="421">
        <f>Tabela317[[#This Row],[TOTAL ALUNOS ADEQUADO]]/Tabela317[[#This Row],[TOTAL DE ALUNOS]]*100</f>
        <v>36.79245283018868</v>
      </c>
      <c r="N200" s="421">
        <f>Tabela317[[#This Row],[Adequado]]*3</f>
        <v>110.37735849056604</v>
      </c>
      <c r="O200" s="421">
        <f>Tabela317[[#This Row],[TOTAL DE ALUNOS AVANÇADO]]/Tabela317[[#This Row],[TOTAL DE ALUNOS]]*100</f>
        <v>27.358490566037734</v>
      </c>
      <c r="P200" s="421">
        <f>Tabela317[[#This Row],[Avançado]]*4</f>
        <v>109.43396226415094</v>
      </c>
      <c r="Q200" s="421">
        <f t="shared" si="18"/>
        <v>279.24528301886789</v>
      </c>
      <c r="R200" s="455">
        <f>Tabela317[[#This Row],[Participação]]*100</f>
        <v>92.97999999999999</v>
      </c>
      <c r="S200" s="422">
        <f t="shared" si="21"/>
        <v>279.24528301886789</v>
      </c>
      <c r="T200" s="422">
        <f>Tabela317[[#This Row],[META 2024]]*0.65</f>
        <v>173.28642500000001</v>
      </c>
      <c r="U200" s="421">
        <v>266.59449999999998</v>
      </c>
      <c r="V200" s="422">
        <f t="shared" si="19"/>
        <v>1.1355807953263199</v>
      </c>
      <c r="W200" s="422">
        <f t="shared" si="17"/>
        <v>1</v>
      </c>
    </row>
    <row r="201" spans="1:23">
      <c r="A201" s="456">
        <v>248</v>
      </c>
      <c r="B201" s="457" t="s">
        <v>203</v>
      </c>
      <c r="C201" s="418">
        <v>13</v>
      </c>
      <c r="D201" s="418">
        <v>17</v>
      </c>
      <c r="E201" s="418">
        <v>16</v>
      </c>
      <c r="F201" s="418">
        <v>11</v>
      </c>
      <c r="G201" s="454">
        <f t="shared" si="20"/>
        <v>57</v>
      </c>
      <c r="H201" s="420">
        <v>0.83819999999999995</v>
      </c>
      <c r="I201" s="421">
        <f>Tabela317[[#This Row],[TOTAL ALUNOS ABAIXO DO BASICO]]/Tabela317[[#This Row],[TOTAL DE ALUNOS]]*100</f>
        <v>22.807017543859647</v>
      </c>
      <c r="J201" s="421">
        <f>Tabela317[[#This Row],[Abaixo do Básico]]*1</f>
        <v>22.807017543859647</v>
      </c>
      <c r="K201" s="421">
        <f>Tabela317[[#This Row],[TOTAL ALUNOS DO BASICO]]/Tabela317[[#This Row],[TOTAL DE ALUNOS]]*100</f>
        <v>29.82456140350877</v>
      </c>
      <c r="L201" s="421">
        <f>Tabela317[[#This Row],[Básico]]*2</f>
        <v>59.649122807017541</v>
      </c>
      <c r="M201" s="421">
        <f>Tabela317[[#This Row],[TOTAL ALUNOS ADEQUADO]]/Tabela317[[#This Row],[TOTAL DE ALUNOS]]*100</f>
        <v>28.07017543859649</v>
      </c>
      <c r="N201" s="421">
        <f>Tabela317[[#This Row],[Adequado]]*3</f>
        <v>84.210526315789465</v>
      </c>
      <c r="O201" s="421">
        <f>Tabela317[[#This Row],[TOTAL DE ALUNOS AVANÇADO]]/Tabela317[[#This Row],[TOTAL DE ALUNOS]]*100</f>
        <v>19.298245614035086</v>
      </c>
      <c r="P201" s="421">
        <f>Tabela317[[#This Row],[Avançado]]*4</f>
        <v>77.192982456140342</v>
      </c>
      <c r="Q201" s="421">
        <f t="shared" si="18"/>
        <v>243.85964912280701</v>
      </c>
      <c r="R201" s="455">
        <f>Tabela317[[#This Row],[Participação]]*100</f>
        <v>83.82</v>
      </c>
      <c r="S201" s="422">
        <f t="shared" si="21"/>
        <v>243.85964912280701</v>
      </c>
      <c r="T201" s="422">
        <f>Tabela317[[#This Row],[META 2024]]*0.65</f>
        <v>156.80210000000002</v>
      </c>
      <c r="U201" s="421">
        <v>241.23400000000001</v>
      </c>
      <c r="V201" s="422">
        <f t="shared" si="19"/>
        <v>1.0310978329613216</v>
      </c>
      <c r="W201" s="422">
        <f t="shared" si="17"/>
        <v>1</v>
      </c>
    </row>
    <row r="202" spans="1:23">
      <c r="A202" s="456">
        <v>249</v>
      </c>
      <c r="B202" s="457" t="s">
        <v>26</v>
      </c>
      <c r="C202" s="418">
        <v>37</v>
      </c>
      <c r="D202" s="418">
        <v>40</v>
      </c>
      <c r="E202" s="418">
        <v>36</v>
      </c>
      <c r="F202" s="418">
        <v>36</v>
      </c>
      <c r="G202" s="454">
        <f t="shared" si="20"/>
        <v>149</v>
      </c>
      <c r="H202" s="420">
        <v>0.96130000000000004</v>
      </c>
      <c r="I202" s="421">
        <f>Tabela317[[#This Row],[TOTAL ALUNOS ABAIXO DO BASICO]]/Tabela317[[#This Row],[TOTAL DE ALUNOS]]*100</f>
        <v>24.832214765100673</v>
      </c>
      <c r="J202" s="421">
        <f>Tabela317[[#This Row],[Abaixo do Básico]]*1</f>
        <v>24.832214765100673</v>
      </c>
      <c r="K202" s="421">
        <f>Tabela317[[#This Row],[TOTAL ALUNOS DO BASICO]]/Tabela317[[#This Row],[TOTAL DE ALUNOS]]*100</f>
        <v>26.845637583892618</v>
      </c>
      <c r="L202" s="421">
        <f>Tabela317[[#This Row],[Básico]]*2</f>
        <v>53.691275167785236</v>
      </c>
      <c r="M202" s="421">
        <f>Tabela317[[#This Row],[TOTAL ALUNOS ADEQUADO]]/Tabela317[[#This Row],[TOTAL DE ALUNOS]]*100</f>
        <v>24.161073825503358</v>
      </c>
      <c r="N202" s="421">
        <f>Tabela317[[#This Row],[Adequado]]*3</f>
        <v>72.483221476510067</v>
      </c>
      <c r="O202" s="421">
        <f>Tabela317[[#This Row],[TOTAL DE ALUNOS AVANÇADO]]/Tabela317[[#This Row],[TOTAL DE ALUNOS]]*100</f>
        <v>24.161073825503358</v>
      </c>
      <c r="P202" s="421">
        <f>Tabela317[[#This Row],[Avançado]]*4</f>
        <v>96.644295302013433</v>
      </c>
      <c r="Q202" s="421">
        <f t="shared" si="18"/>
        <v>247.65100671140939</v>
      </c>
      <c r="R202" s="455">
        <f>Tabela317[[#This Row],[Participação]]*100</f>
        <v>96.13000000000001</v>
      </c>
      <c r="S202" s="422">
        <f t="shared" si="21"/>
        <v>247.65100671140939</v>
      </c>
      <c r="T202" s="422">
        <f>Tabela317[[#This Row],[META 2024]]*0.65</f>
        <v>156.78832</v>
      </c>
      <c r="U202" s="421">
        <v>241.21279999999999</v>
      </c>
      <c r="V202" s="422">
        <f t="shared" si="19"/>
        <v>1.0762599510403785</v>
      </c>
      <c r="W202" s="422">
        <f t="shared" si="17"/>
        <v>1</v>
      </c>
    </row>
    <row r="203" spans="1:23">
      <c r="A203" s="456">
        <v>252</v>
      </c>
      <c r="B203" s="457" t="s">
        <v>184</v>
      </c>
      <c r="C203" s="418">
        <v>26</v>
      </c>
      <c r="D203" s="418">
        <v>30</v>
      </c>
      <c r="E203" s="418">
        <v>14</v>
      </c>
      <c r="F203" s="418">
        <v>21</v>
      </c>
      <c r="G203" s="454">
        <f t="shared" si="20"/>
        <v>91</v>
      </c>
      <c r="H203" s="420">
        <v>0.96809999999999996</v>
      </c>
      <c r="I203" s="421">
        <f>Tabela317[[#This Row],[TOTAL ALUNOS ABAIXO DO BASICO]]/Tabela317[[#This Row],[TOTAL DE ALUNOS]]*100</f>
        <v>28.571428571428569</v>
      </c>
      <c r="J203" s="421">
        <f>Tabela317[[#This Row],[Abaixo do Básico]]*1</f>
        <v>28.571428571428569</v>
      </c>
      <c r="K203" s="421">
        <f>Tabela317[[#This Row],[TOTAL ALUNOS DO BASICO]]/Tabela317[[#This Row],[TOTAL DE ALUNOS]]*100</f>
        <v>32.967032967032964</v>
      </c>
      <c r="L203" s="421">
        <f>Tabela317[[#This Row],[Básico]]*2</f>
        <v>65.934065934065927</v>
      </c>
      <c r="M203" s="421">
        <f>Tabela317[[#This Row],[TOTAL ALUNOS ADEQUADO]]/Tabela317[[#This Row],[TOTAL DE ALUNOS]]*100</f>
        <v>15.384615384615385</v>
      </c>
      <c r="N203" s="421">
        <f>Tabela317[[#This Row],[Adequado]]*3</f>
        <v>46.153846153846153</v>
      </c>
      <c r="O203" s="421">
        <f>Tabela317[[#This Row],[TOTAL DE ALUNOS AVANÇADO]]/Tabela317[[#This Row],[TOTAL DE ALUNOS]]*100</f>
        <v>23.076923076923077</v>
      </c>
      <c r="P203" s="421">
        <f>Tabela317[[#This Row],[Avançado]]*4</f>
        <v>92.307692307692307</v>
      </c>
      <c r="Q203" s="421">
        <f t="shared" si="18"/>
        <v>232.96703296703294</v>
      </c>
      <c r="R203" s="455">
        <f>Tabela317[[#This Row],[Participação]]*100</f>
        <v>96.81</v>
      </c>
      <c r="S203" s="422">
        <f t="shared" si="21"/>
        <v>232.96703296703294</v>
      </c>
      <c r="T203" s="422">
        <f>Tabela317[[#This Row],[META 2024]]*0.65</f>
        <v>149.01939000000002</v>
      </c>
      <c r="U203" s="421">
        <v>229.26060000000001</v>
      </c>
      <c r="V203" s="422">
        <f t="shared" si="19"/>
        <v>1.0461911400268382</v>
      </c>
      <c r="W203" s="422">
        <f t="shared" si="17"/>
        <v>1</v>
      </c>
    </row>
    <row r="204" spans="1:23">
      <c r="A204" s="456">
        <v>253</v>
      </c>
      <c r="B204" s="457" t="s">
        <v>90</v>
      </c>
      <c r="C204" s="418">
        <v>14</v>
      </c>
      <c r="D204" s="418">
        <v>37</v>
      </c>
      <c r="E204" s="418">
        <v>37</v>
      </c>
      <c r="F204" s="418">
        <v>46</v>
      </c>
      <c r="G204" s="454">
        <f t="shared" si="20"/>
        <v>134</v>
      </c>
      <c r="H204" s="420">
        <v>0.91779999999999995</v>
      </c>
      <c r="I204" s="421">
        <f>Tabela317[[#This Row],[TOTAL ALUNOS ABAIXO DO BASICO]]/Tabela317[[#This Row],[TOTAL DE ALUNOS]]*100</f>
        <v>10.44776119402985</v>
      </c>
      <c r="J204" s="421">
        <f>Tabela317[[#This Row],[Abaixo do Básico]]*1</f>
        <v>10.44776119402985</v>
      </c>
      <c r="K204" s="421">
        <f>Tabela317[[#This Row],[TOTAL ALUNOS DO BASICO]]/Tabela317[[#This Row],[TOTAL DE ALUNOS]]*100</f>
        <v>27.611940298507463</v>
      </c>
      <c r="L204" s="421">
        <f>Tabela317[[#This Row],[Básico]]*2</f>
        <v>55.223880597014926</v>
      </c>
      <c r="M204" s="421">
        <f>Tabela317[[#This Row],[TOTAL ALUNOS ADEQUADO]]/Tabela317[[#This Row],[TOTAL DE ALUNOS]]*100</f>
        <v>27.611940298507463</v>
      </c>
      <c r="N204" s="421">
        <f>Tabela317[[#This Row],[Adequado]]*3</f>
        <v>82.835820895522389</v>
      </c>
      <c r="O204" s="421">
        <f>Tabela317[[#This Row],[TOTAL DE ALUNOS AVANÇADO]]/Tabela317[[#This Row],[TOTAL DE ALUNOS]]*100</f>
        <v>34.328358208955223</v>
      </c>
      <c r="P204" s="421">
        <f>Tabela317[[#This Row],[Avançado]]*4</f>
        <v>137.31343283582089</v>
      </c>
      <c r="Q204" s="421">
        <f t="shared" si="18"/>
        <v>285.82089552238807</v>
      </c>
      <c r="R204" s="455">
        <f>Tabela317[[#This Row],[Participação]]*100</f>
        <v>91.78</v>
      </c>
      <c r="S204" s="422">
        <f t="shared" si="21"/>
        <v>285.82089552238807</v>
      </c>
      <c r="T204" s="422">
        <f>Tabela317[[#This Row],[META 2024]]*0.65</f>
        <v>173.732</v>
      </c>
      <c r="U204" s="421">
        <v>267.27999999999997</v>
      </c>
      <c r="V204" s="422">
        <f t="shared" si="19"/>
        <v>1.1981965998459412</v>
      </c>
      <c r="W204" s="422">
        <f t="shared" si="17"/>
        <v>1</v>
      </c>
    </row>
    <row r="205" spans="1:23">
      <c r="A205" s="456">
        <v>254</v>
      </c>
      <c r="B205" s="457" t="s">
        <v>40</v>
      </c>
      <c r="C205" s="418">
        <v>62</v>
      </c>
      <c r="D205" s="418">
        <v>35</v>
      </c>
      <c r="E205" s="418">
        <v>42</v>
      </c>
      <c r="F205" s="418">
        <v>30</v>
      </c>
      <c r="G205" s="454">
        <f t="shared" si="20"/>
        <v>169</v>
      </c>
      <c r="H205" s="420">
        <v>0.93889999999999996</v>
      </c>
      <c r="I205" s="421">
        <f>Tabela317[[#This Row],[TOTAL ALUNOS ABAIXO DO BASICO]]/Tabela317[[#This Row],[TOTAL DE ALUNOS]]*100</f>
        <v>36.68639053254438</v>
      </c>
      <c r="J205" s="421">
        <f>Tabela317[[#This Row],[Abaixo do Básico]]*1</f>
        <v>36.68639053254438</v>
      </c>
      <c r="K205" s="421">
        <f>Tabela317[[#This Row],[TOTAL ALUNOS DO BASICO]]/Tabela317[[#This Row],[TOTAL DE ALUNOS]]*100</f>
        <v>20.710059171597635</v>
      </c>
      <c r="L205" s="421">
        <f>Tabela317[[#This Row],[Básico]]*2</f>
        <v>41.42011834319527</v>
      </c>
      <c r="M205" s="421">
        <f>Tabela317[[#This Row],[TOTAL ALUNOS ADEQUADO]]/Tabela317[[#This Row],[TOTAL DE ALUNOS]]*100</f>
        <v>24.852071005917161</v>
      </c>
      <c r="N205" s="421">
        <f>Tabela317[[#This Row],[Adequado]]*3</f>
        <v>74.556213017751475</v>
      </c>
      <c r="O205" s="421">
        <f>Tabela317[[#This Row],[TOTAL DE ALUNOS AVANÇADO]]/Tabela317[[#This Row],[TOTAL DE ALUNOS]]*100</f>
        <v>17.751479289940828</v>
      </c>
      <c r="P205" s="421">
        <f>Tabela317[[#This Row],[Avançado]]*4</f>
        <v>71.005917159763314</v>
      </c>
      <c r="Q205" s="421">
        <f t="shared" si="18"/>
        <v>223.66863905325442</v>
      </c>
      <c r="R205" s="455">
        <f>Tabela317[[#This Row],[Participação]]*100</f>
        <v>93.89</v>
      </c>
      <c r="S205" s="422">
        <f t="shared" si="21"/>
        <v>223.66863905325442</v>
      </c>
      <c r="T205" s="422">
        <f>Tabela317[[#This Row],[META 2024]]*0.65</f>
        <v>161.60326000000001</v>
      </c>
      <c r="U205" s="421">
        <v>248.62039999999999</v>
      </c>
      <c r="V205" s="422">
        <f t="shared" si="19"/>
        <v>0.71325464216882362</v>
      </c>
      <c r="W205" s="422">
        <f t="shared" si="17"/>
        <v>0.71325464216882362</v>
      </c>
    </row>
    <row r="206" spans="1:23">
      <c r="A206" s="456">
        <v>255</v>
      </c>
      <c r="B206" s="457" t="s">
        <v>37</v>
      </c>
      <c r="C206" s="418">
        <v>30</v>
      </c>
      <c r="D206" s="418">
        <v>23</v>
      </c>
      <c r="E206" s="418">
        <v>24</v>
      </c>
      <c r="F206" s="418">
        <v>10</v>
      </c>
      <c r="G206" s="454">
        <f t="shared" si="20"/>
        <v>87</v>
      </c>
      <c r="H206" s="420">
        <v>0.87</v>
      </c>
      <c r="I206" s="421">
        <f>Tabela317[[#This Row],[TOTAL ALUNOS ABAIXO DO BASICO]]/Tabela317[[#This Row],[TOTAL DE ALUNOS]]*100</f>
        <v>34.482758620689658</v>
      </c>
      <c r="J206" s="421">
        <f>Tabela317[[#This Row],[Abaixo do Básico]]*1</f>
        <v>34.482758620689658</v>
      </c>
      <c r="K206" s="421">
        <f>Tabela317[[#This Row],[TOTAL ALUNOS DO BASICO]]/Tabela317[[#This Row],[TOTAL DE ALUNOS]]*100</f>
        <v>26.436781609195403</v>
      </c>
      <c r="L206" s="421">
        <f>Tabela317[[#This Row],[Básico]]*2</f>
        <v>52.873563218390807</v>
      </c>
      <c r="M206" s="421">
        <f>Tabela317[[#This Row],[TOTAL ALUNOS ADEQUADO]]/Tabela317[[#This Row],[TOTAL DE ALUNOS]]*100</f>
        <v>27.586206896551722</v>
      </c>
      <c r="N206" s="421">
        <f>Tabela317[[#This Row],[Adequado]]*3</f>
        <v>82.758620689655174</v>
      </c>
      <c r="O206" s="421">
        <f>Tabela317[[#This Row],[TOTAL DE ALUNOS AVANÇADO]]/Tabela317[[#This Row],[TOTAL DE ALUNOS]]*100</f>
        <v>11.494252873563218</v>
      </c>
      <c r="P206" s="421">
        <f>Tabela317[[#This Row],[Avançado]]*4</f>
        <v>45.977011494252871</v>
      </c>
      <c r="Q206" s="421">
        <f t="shared" si="18"/>
        <v>216.09195402298852</v>
      </c>
      <c r="R206" s="455">
        <f>Tabela317[[#This Row],[Participação]]*100</f>
        <v>87</v>
      </c>
      <c r="S206" s="422">
        <f t="shared" si="21"/>
        <v>216.09195402298852</v>
      </c>
      <c r="T206" s="422">
        <f>Tabela317[[#This Row],[META 2024]]*0.65</f>
        <v>129.44288499999999</v>
      </c>
      <c r="U206" s="421">
        <v>199.1429</v>
      </c>
      <c r="V206" s="422">
        <f t="shared" si="19"/>
        <v>1.2431714544536112</v>
      </c>
      <c r="W206" s="422">
        <f t="shared" si="17"/>
        <v>1</v>
      </c>
    </row>
    <row r="207" spans="1:23">
      <c r="A207" s="456">
        <v>256</v>
      </c>
      <c r="B207" s="457" t="s">
        <v>10</v>
      </c>
      <c r="C207" s="418">
        <v>69</v>
      </c>
      <c r="D207" s="418">
        <v>43</v>
      </c>
      <c r="E207" s="418">
        <v>27</v>
      </c>
      <c r="F207" s="418">
        <v>6</v>
      </c>
      <c r="G207" s="454">
        <f t="shared" si="20"/>
        <v>145</v>
      </c>
      <c r="H207" s="420">
        <v>0.92359999999999998</v>
      </c>
      <c r="I207" s="421">
        <f>Tabela317[[#This Row],[TOTAL ALUNOS ABAIXO DO BASICO]]/Tabela317[[#This Row],[TOTAL DE ALUNOS]]*100</f>
        <v>47.586206896551722</v>
      </c>
      <c r="J207" s="421">
        <f>Tabela317[[#This Row],[Abaixo do Básico]]*1</f>
        <v>47.586206896551722</v>
      </c>
      <c r="K207" s="421">
        <f>Tabela317[[#This Row],[TOTAL ALUNOS DO BASICO]]/Tabela317[[#This Row],[TOTAL DE ALUNOS]]*100</f>
        <v>29.655172413793103</v>
      </c>
      <c r="L207" s="421">
        <f>Tabela317[[#This Row],[Básico]]*2</f>
        <v>59.310344827586206</v>
      </c>
      <c r="M207" s="421">
        <f>Tabela317[[#This Row],[TOTAL ALUNOS ADEQUADO]]/Tabela317[[#This Row],[TOTAL DE ALUNOS]]*100</f>
        <v>18.620689655172416</v>
      </c>
      <c r="N207" s="421">
        <f>Tabela317[[#This Row],[Adequado]]*3</f>
        <v>55.862068965517253</v>
      </c>
      <c r="O207" s="421">
        <f>Tabela317[[#This Row],[TOTAL DE ALUNOS AVANÇADO]]/Tabela317[[#This Row],[TOTAL DE ALUNOS]]*100</f>
        <v>4.1379310344827589</v>
      </c>
      <c r="P207" s="421">
        <f>Tabela317[[#This Row],[Avançado]]*4</f>
        <v>16.551724137931036</v>
      </c>
      <c r="Q207" s="421">
        <f t="shared" si="18"/>
        <v>179.31034482758622</v>
      </c>
      <c r="R207" s="455">
        <f>Tabela317[[#This Row],[Participação]]*100</f>
        <v>92.36</v>
      </c>
      <c r="S207" s="422">
        <f t="shared" si="21"/>
        <v>179.31034482758622</v>
      </c>
      <c r="T207" s="422">
        <f>Tabela317[[#This Row],[META 2024]]*0.65</f>
        <v>121.96899000000001</v>
      </c>
      <c r="U207" s="421">
        <v>187.6446</v>
      </c>
      <c r="V207" s="422">
        <f t="shared" si="19"/>
        <v>0.87309969146211541</v>
      </c>
      <c r="W207" s="422">
        <f t="shared" si="17"/>
        <v>0.87309969146211541</v>
      </c>
    </row>
    <row r="208" spans="1:23">
      <c r="A208" s="456">
        <v>260</v>
      </c>
      <c r="B208" s="457" t="s">
        <v>101</v>
      </c>
      <c r="C208" s="418">
        <v>38</v>
      </c>
      <c r="D208" s="418">
        <v>45</v>
      </c>
      <c r="E208" s="418">
        <v>35</v>
      </c>
      <c r="F208" s="418">
        <v>39</v>
      </c>
      <c r="G208" s="454">
        <f t="shared" si="20"/>
        <v>157</v>
      </c>
      <c r="H208" s="420">
        <v>0.88200000000000001</v>
      </c>
      <c r="I208" s="421">
        <f>Tabela317[[#This Row],[TOTAL ALUNOS ABAIXO DO BASICO]]/Tabela317[[#This Row],[TOTAL DE ALUNOS]]*100</f>
        <v>24.203821656050955</v>
      </c>
      <c r="J208" s="421">
        <f>Tabela317[[#This Row],[Abaixo do Básico]]*1</f>
        <v>24.203821656050955</v>
      </c>
      <c r="K208" s="421">
        <f>Tabela317[[#This Row],[TOTAL ALUNOS DO BASICO]]/Tabela317[[#This Row],[TOTAL DE ALUNOS]]*100</f>
        <v>28.662420382165603</v>
      </c>
      <c r="L208" s="421">
        <f>Tabela317[[#This Row],[Básico]]*2</f>
        <v>57.324840764331206</v>
      </c>
      <c r="M208" s="421">
        <f>Tabela317[[#This Row],[TOTAL ALUNOS ADEQUADO]]/Tabela317[[#This Row],[TOTAL DE ALUNOS]]*100</f>
        <v>22.29299363057325</v>
      </c>
      <c r="N208" s="421">
        <f>Tabela317[[#This Row],[Adequado]]*3</f>
        <v>66.878980891719749</v>
      </c>
      <c r="O208" s="421">
        <f>Tabela317[[#This Row],[TOTAL DE ALUNOS AVANÇADO]]/Tabela317[[#This Row],[TOTAL DE ALUNOS]]*100</f>
        <v>24.840764331210192</v>
      </c>
      <c r="P208" s="421">
        <f>Tabela317[[#This Row],[Avançado]]*4</f>
        <v>99.363057324840767</v>
      </c>
      <c r="Q208" s="421">
        <f t="shared" si="18"/>
        <v>247.77070063694271</v>
      </c>
      <c r="R208" s="455">
        <f>Tabela317[[#This Row],[Participação]]*100</f>
        <v>88.2</v>
      </c>
      <c r="S208" s="422">
        <f t="shared" si="21"/>
        <v>247.77070063694271</v>
      </c>
      <c r="T208" s="422">
        <f>Tabela317[[#This Row],[META 2024]]*0.65</f>
        <v>165.83755500000001</v>
      </c>
      <c r="U208" s="421">
        <v>255.13470000000001</v>
      </c>
      <c r="V208" s="422">
        <f t="shared" si="19"/>
        <v>0.91753376479105464</v>
      </c>
      <c r="W208" s="422">
        <f t="shared" si="17"/>
        <v>0.91753376479105464</v>
      </c>
    </row>
    <row r="209" spans="1:23">
      <c r="A209" s="456">
        <v>261</v>
      </c>
      <c r="B209" s="457" t="s">
        <v>211</v>
      </c>
      <c r="C209" s="418">
        <v>29</v>
      </c>
      <c r="D209" s="418">
        <v>25</v>
      </c>
      <c r="E209" s="418">
        <v>41</v>
      </c>
      <c r="F209" s="418">
        <v>32</v>
      </c>
      <c r="G209" s="454">
        <f t="shared" si="20"/>
        <v>127</v>
      </c>
      <c r="H209" s="420">
        <v>0.91369999999999996</v>
      </c>
      <c r="I209" s="421">
        <f>Tabela317[[#This Row],[TOTAL ALUNOS ABAIXO DO BASICO]]/Tabela317[[#This Row],[TOTAL DE ALUNOS]]*100</f>
        <v>22.834645669291341</v>
      </c>
      <c r="J209" s="421">
        <f>Tabela317[[#This Row],[Abaixo do Básico]]*1</f>
        <v>22.834645669291341</v>
      </c>
      <c r="K209" s="421">
        <f>Tabela317[[#This Row],[TOTAL ALUNOS DO BASICO]]/Tabela317[[#This Row],[TOTAL DE ALUNOS]]*100</f>
        <v>19.685039370078741</v>
      </c>
      <c r="L209" s="421">
        <f>Tabela317[[#This Row],[Básico]]*2</f>
        <v>39.370078740157481</v>
      </c>
      <c r="M209" s="421">
        <f>Tabela317[[#This Row],[TOTAL ALUNOS ADEQUADO]]/Tabela317[[#This Row],[TOTAL DE ALUNOS]]*100</f>
        <v>32.283464566929133</v>
      </c>
      <c r="N209" s="421">
        <f>Tabela317[[#This Row],[Adequado]]*3</f>
        <v>96.850393700787407</v>
      </c>
      <c r="O209" s="421">
        <f>Tabela317[[#This Row],[TOTAL DE ALUNOS AVANÇADO]]/Tabela317[[#This Row],[TOTAL DE ALUNOS]]*100</f>
        <v>25.196850393700785</v>
      </c>
      <c r="P209" s="421">
        <f>Tabela317[[#This Row],[Avançado]]*4</f>
        <v>100.78740157480314</v>
      </c>
      <c r="Q209" s="421">
        <f t="shared" si="18"/>
        <v>259.84251968503941</v>
      </c>
      <c r="R209" s="455">
        <f>Tabela317[[#This Row],[Participação]]*100</f>
        <v>91.36999999999999</v>
      </c>
      <c r="S209" s="422">
        <f t="shared" si="21"/>
        <v>259.84251968503941</v>
      </c>
      <c r="T209" s="422">
        <f>Tabela317[[#This Row],[META 2024]]*0.65</f>
        <v>168.99811500000001</v>
      </c>
      <c r="U209" s="421">
        <v>259.99709999999999</v>
      </c>
      <c r="V209" s="422">
        <f t="shared" si="19"/>
        <v>0.99830129627313335</v>
      </c>
      <c r="W209" s="422">
        <f t="shared" si="17"/>
        <v>0.99830129627313335</v>
      </c>
    </row>
    <row r="210" spans="1:23">
      <c r="A210" s="456">
        <v>262</v>
      </c>
      <c r="B210" s="457" t="s">
        <v>22</v>
      </c>
      <c r="C210" s="418">
        <v>41</v>
      </c>
      <c r="D210" s="418">
        <v>39</v>
      </c>
      <c r="E210" s="418">
        <v>51</v>
      </c>
      <c r="F210" s="418">
        <v>25</v>
      </c>
      <c r="G210" s="454">
        <f t="shared" si="20"/>
        <v>156</v>
      </c>
      <c r="H210" s="420">
        <v>0.86670000000000003</v>
      </c>
      <c r="I210" s="421">
        <f>Tabela317[[#This Row],[TOTAL ALUNOS ABAIXO DO BASICO]]/Tabela317[[#This Row],[TOTAL DE ALUNOS]]*100</f>
        <v>26.282051282051285</v>
      </c>
      <c r="J210" s="421">
        <f>Tabela317[[#This Row],[Abaixo do Básico]]*1</f>
        <v>26.282051282051285</v>
      </c>
      <c r="K210" s="421">
        <f>Tabela317[[#This Row],[TOTAL ALUNOS DO BASICO]]/Tabela317[[#This Row],[TOTAL DE ALUNOS]]*100</f>
        <v>25</v>
      </c>
      <c r="L210" s="421">
        <f>Tabela317[[#This Row],[Básico]]*2</f>
        <v>50</v>
      </c>
      <c r="M210" s="421">
        <f>Tabela317[[#This Row],[TOTAL ALUNOS ADEQUADO]]/Tabela317[[#This Row],[TOTAL DE ALUNOS]]*100</f>
        <v>32.692307692307693</v>
      </c>
      <c r="N210" s="421">
        <f>Tabela317[[#This Row],[Adequado]]*3</f>
        <v>98.07692307692308</v>
      </c>
      <c r="O210" s="421">
        <f>Tabela317[[#This Row],[TOTAL DE ALUNOS AVANÇADO]]/Tabela317[[#This Row],[TOTAL DE ALUNOS]]*100</f>
        <v>16.025641025641026</v>
      </c>
      <c r="P210" s="421">
        <f>Tabela317[[#This Row],[Avançado]]*4</f>
        <v>64.102564102564102</v>
      </c>
      <c r="Q210" s="421">
        <f t="shared" si="18"/>
        <v>238.46153846153845</v>
      </c>
      <c r="R210" s="455">
        <f>Tabela317[[#This Row],[Participação]]*100</f>
        <v>86.67</v>
      </c>
      <c r="S210" s="422">
        <f t="shared" si="21"/>
        <v>238.46153846153845</v>
      </c>
      <c r="T210" s="422">
        <f>Tabela317[[#This Row],[META 2024]]*0.65</f>
        <v>153.25362000000001</v>
      </c>
      <c r="U210" s="421">
        <v>235.7748</v>
      </c>
      <c r="V210" s="422">
        <f t="shared" si="19"/>
        <v>1.0325581682367904</v>
      </c>
      <c r="W210" s="422">
        <f t="shared" si="17"/>
        <v>1</v>
      </c>
    </row>
    <row r="211" spans="1:23">
      <c r="A211" s="456">
        <v>263</v>
      </c>
      <c r="B211" s="457" t="s">
        <v>36</v>
      </c>
      <c r="C211" s="418">
        <v>18</v>
      </c>
      <c r="D211" s="418">
        <v>10</v>
      </c>
      <c r="E211" s="418">
        <v>16</v>
      </c>
      <c r="F211" s="418">
        <v>12</v>
      </c>
      <c r="G211" s="454">
        <f t="shared" si="20"/>
        <v>56</v>
      </c>
      <c r="H211" s="420">
        <v>0.86150000000000004</v>
      </c>
      <c r="I211" s="421">
        <f>Tabela317[[#This Row],[TOTAL ALUNOS ABAIXO DO BASICO]]/Tabela317[[#This Row],[TOTAL DE ALUNOS]]*100</f>
        <v>32.142857142857146</v>
      </c>
      <c r="J211" s="421">
        <f>Tabela317[[#This Row],[Abaixo do Básico]]*1</f>
        <v>32.142857142857146</v>
      </c>
      <c r="K211" s="421">
        <f>Tabela317[[#This Row],[TOTAL ALUNOS DO BASICO]]/Tabela317[[#This Row],[TOTAL DE ALUNOS]]*100</f>
        <v>17.857142857142858</v>
      </c>
      <c r="L211" s="421">
        <f>Tabela317[[#This Row],[Básico]]*2</f>
        <v>35.714285714285715</v>
      </c>
      <c r="M211" s="421">
        <f>Tabela317[[#This Row],[TOTAL ALUNOS ADEQUADO]]/Tabela317[[#This Row],[TOTAL DE ALUNOS]]*100</f>
        <v>28.571428571428569</v>
      </c>
      <c r="N211" s="421">
        <f>Tabela317[[#This Row],[Adequado]]*3</f>
        <v>85.714285714285708</v>
      </c>
      <c r="O211" s="421">
        <f>Tabela317[[#This Row],[TOTAL DE ALUNOS AVANÇADO]]/Tabela317[[#This Row],[TOTAL DE ALUNOS]]*100</f>
        <v>21.428571428571427</v>
      </c>
      <c r="P211" s="421">
        <f>Tabela317[[#This Row],[Avançado]]*4</f>
        <v>85.714285714285708</v>
      </c>
      <c r="Q211" s="421">
        <f t="shared" si="18"/>
        <v>239.28571428571428</v>
      </c>
      <c r="R211" s="455">
        <f>Tabela317[[#This Row],[Participação]]*100</f>
        <v>86.15</v>
      </c>
      <c r="S211" s="422">
        <f t="shared" si="21"/>
        <v>239.28571428571428</v>
      </c>
      <c r="T211" s="422">
        <f>Tabela317[[#This Row],[META 2024]]*0.65</f>
        <v>137.17847</v>
      </c>
      <c r="U211" s="421">
        <v>211.0438</v>
      </c>
      <c r="V211" s="422">
        <f t="shared" si="19"/>
        <v>1.3823433034918313</v>
      </c>
      <c r="W211" s="422">
        <f t="shared" si="17"/>
        <v>1</v>
      </c>
    </row>
    <row r="212" spans="1:23">
      <c r="A212" s="456">
        <v>264</v>
      </c>
      <c r="B212" s="457" t="s">
        <v>215</v>
      </c>
      <c r="C212" s="418">
        <v>14</v>
      </c>
      <c r="D212" s="418">
        <v>18</v>
      </c>
      <c r="E212" s="418">
        <v>22</v>
      </c>
      <c r="F212" s="418">
        <v>11</v>
      </c>
      <c r="G212" s="454">
        <f t="shared" si="20"/>
        <v>65</v>
      </c>
      <c r="H212" s="420">
        <v>0.91549999999999998</v>
      </c>
      <c r="I212" s="421">
        <f>Tabela317[[#This Row],[TOTAL ALUNOS ABAIXO DO BASICO]]/Tabela317[[#This Row],[TOTAL DE ALUNOS]]*100</f>
        <v>21.53846153846154</v>
      </c>
      <c r="J212" s="421">
        <f>Tabela317[[#This Row],[Abaixo do Básico]]*1</f>
        <v>21.53846153846154</v>
      </c>
      <c r="K212" s="421">
        <f>Tabela317[[#This Row],[TOTAL ALUNOS DO BASICO]]/Tabela317[[#This Row],[TOTAL DE ALUNOS]]*100</f>
        <v>27.692307692307693</v>
      </c>
      <c r="L212" s="421">
        <f>Tabela317[[#This Row],[Básico]]*2</f>
        <v>55.384615384615387</v>
      </c>
      <c r="M212" s="421">
        <f>Tabela317[[#This Row],[TOTAL ALUNOS ADEQUADO]]/Tabela317[[#This Row],[TOTAL DE ALUNOS]]*100</f>
        <v>33.846153846153847</v>
      </c>
      <c r="N212" s="421">
        <f>Tabela317[[#This Row],[Adequado]]*3</f>
        <v>101.53846153846155</v>
      </c>
      <c r="O212" s="421">
        <f>Tabela317[[#This Row],[TOTAL DE ALUNOS AVANÇADO]]/Tabela317[[#This Row],[TOTAL DE ALUNOS]]*100</f>
        <v>16.923076923076923</v>
      </c>
      <c r="P212" s="421">
        <f>Tabela317[[#This Row],[Avançado]]*4</f>
        <v>67.692307692307693</v>
      </c>
      <c r="Q212" s="421">
        <f t="shared" si="18"/>
        <v>246.15384615384619</v>
      </c>
      <c r="R212" s="455">
        <f>Tabela317[[#This Row],[Participação]]*100</f>
        <v>91.55</v>
      </c>
      <c r="S212" s="422">
        <f t="shared" si="21"/>
        <v>246.15384615384619</v>
      </c>
      <c r="T212" s="422">
        <f>Tabela317[[#This Row],[META 2024]]*0.65</f>
        <v>158.37445</v>
      </c>
      <c r="U212" s="421">
        <v>243.65299999999999</v>
      </c>
      <c r="V212" s="422">
        <f t="shared" si="19"/>
        <v>1.0293256176828312</v>
      </c>
      <c r="W212" s="422">
        <f t="shared" si="17"/>
        <v>1</v>
      </c>
    </row>
    <row r="213" spans="1:23">
      <c r="A213" s="456">
        <v>266</v>
      </c>
      <c r="B213" s="457" t="s">
        <v>199</v>
      </c>
      <c r="C213" s="418">
        <v>24</v>
      </c>
      <c r="D213" s="418">
        <v>21</v>
      </c>
      <c r="E213" s="418">
        <v>23</v>
      </c>
      <c r="F213" s="418">
        <v>23</v>
      </c>
      <c r="G213" s="454">
        <f t="shared" si="20"/>
        <v>91</v>
      </c>
      <c r="H213" s="420">
        <v>0.90100000000000002</v>
      </c>
      <c r="I213" s="421">
        <f>Tabela317[[#This Row],[TOTAL ALUNOS ABAIXO DO BASICO]]/Tabela317[[#This Row],[TOTAL DE ALUNOS]]*100</f>
        <v>26.373626373626376</v>
      </c>
      <c r="J213" s="421">
        <f>Tabela317[[#This Row],[Abaixo do Básico]]*1</f>
        <v>26.373626373626376</v>
      </c>
      <c r="K213" s="421">
        <f>Tabela317[[#This Row],[TOTAL ALUNOS DO BASICO]]/Tabela317[[#This Row],[TOTAL DE ALUNOS]]*100</f>
        <v>23.076923076923077</v>
      </c>
      <c r="L213" s="421">
        <f>Tabela317[[#This Row],[Básico]]*2</f>
        <v>46.153846153846153</v>
      </c>
      <c r="M213" s="421">
        <f>Tabela317[[#This Row],[TOTAL ALUNOS ADEQUADO]]/Tabela317[[#This Row],[TOTAL DE ALUNOS]]*100</f>
        <v>25.274725274725274</v>
      </c>
      <c r="N213" s="421">
        <f>Tabela317[[#This Row],[Adequado]]*3</f>
        <v>75.824175824175825</v>
      </c>
      <c r="O213" s="421">
        <f>Tabela317[[#This Row],[TOTAL DE ALUNOS AVANÇADO]]/Tabela317[[#This Row],[TOTAL DE ALUNOS]]*100</f>
        <v>25.274725274725274</v>
      </c>
      <c r="P213" s="421">
        <f>Tabela317[[#This Row],[Avançado]]*4</f>
        <v>101.09890109890109</v>
      </c>
      <c r="Q213" s="421">
        <f t="shared" si="18"/>
        <v>249.45054945054943</v>
      </c>
      <c r="R213" s="455">
        <f>Tabela317[[#This Row],[Participação]]*100</f>
        <v>90.100000000000009</v>
      </c>
      <c r="S213" s="422">
        <f t="shared" si="21"/>
        <v>249.45054945054943</v>
      </c>
      <c r="T213" s="422">
        <f>Tabela317[[#This Row],[META 2024]]*0.65</f>
        <v>173.47921500000001</v>
      </c>
      <c r="U213" s="421">
        <v>266.89109999999999</v>
      </c>
      <c r="V213" s="422">
        <f t="shared" si="19"/>
        <v>0.8132940947562447</v>
      </c>
      <c r="W213" s="422">
        <f t="shared" si="17"/>
        <v>0.8132940947562447</v>
      </c>
    </row>
    <row r="214" spans="1:23">
      <c r="A214" s="418">
        <v>267</v>
      </c>
      <c r="B214" s="457" t="s">
        <v>216</v>
      </c>
      <c r="C214" s="419"/>
      <c r="D214" s="419"/>
      <c r="E214" s="419"/>
      <c r="F214" s="419"/>
      <c r="G214" s="454"/>
      <c r="H214" s="458"/>
      <c r="I214" s="421"/>
      <c r="J214" s="421"/>
      <c r="K214" s="421"/>
      <c r="L214" s="421"/>
      <c r="M214" s="421"/>
      <c r="N214" s="421"/>
      <c r="O214" s="421"/>
      <c r="P214" s="421"/>
      <c r="Q214" s="421"/>
      <c r="R214" s="455"/>
      <c r="S214" s="422"/>
      <c r="T214" s="422"/>
      <c r="U214" s="421" t="s">
        <v>228</v>
      </c>
      <c r="V214" s="422"/>
      <c r="W214" s="422"/>
    </row>
    <row r="215" spans="1:23">
      <c r="A215" s="456">
        <v>268</v>
      </c>
      <c r="B215" s="457" t="s">
        <v>120</v>
      </c>
      <c r="C215" s="418">
        <v>25</v>
      </c>
      <c r="D215" s="418">
        <v>47</v>
      </c>
      <c r="E215" s="418">
        <v>31</v>
      </c>
      <c r="F215" s="418">
        <v>17</v>
      </c>
      <c r="G215" s="454">
        <f t="shared" si="20"/>
        <v>120</v>
      </c>
      <c r="H215" s="420">
        <v>0.78949999999999998</v>
      </c>
      <c r="I215" s="421">
        <f>Tabela317[[#This Row],[TOTAL ALUNOS ABAIXO DO BASICO]]/Tabela317[[#This Row],[TOTAL DE ALUNOS]]*100</f>
        <v>20.833333333333336</v>
      </c>
      <c r="J215" s="421">
        <f>Tabela317[[#This Row],[Abaixo do Básico]]*1</f>
        <v>20.833333333333336</v>
      </c>
      <c r="K215" s="421">
        <f>Tabela317[[#This Row],[TOTAL ALUNOS DO BASICO]]/Tabela317[[#This Row],[TOTAL DE ALUNOS]]*100</f>
        <v>39.166666666666664</v>
      </c>
      <c r="L215" s="421">
        <f>Tabela317[[#This Row],[Básico]]*2</f>
        <v>78.333333333333329</v>
      </c>
      <c r="M215" s="421">
        <f>Tabela317[[#This Row],[TOTAL ALUNOS ADEQUADO]]/Tabela317[[#This Row],[TOTAL DE ALUNOS]]*100</f>
        <v>25.833333333333336</v>
      </c>
      <c r="N215" s="421">
        <f>Tabela317[[#This Row],[Adequado]]*3</f>
        <v>77.5</v>
      </c>
      <c r="O215" s="421">
        <f>Tabela317[[#This Row],[TOTAL DE ALUNOS AVANÇADO]]/Tabela317[[#This Row],[TOTAL DE ALUNOS]]*100</f>
        <v>14.166666666666666</v>
      </c>
      <c r="P215" s="421">
        <f>Tabela317[[#This Row],[Avançado]]*4</f>
        <v>56.666666666666664</v>
      </c>
      <c r="Q215" s="421">
        <f t="shared" ref="Q215:Q227" si="22">SUM(J215,L215,N215,P215)</f>
        <v>233.33333333333331</v>
      </c>
      <c r="R215" s="455">
        <f>Tabela317[[#This Row],[Participação]]*100</f>
        <v>78.95</v>
      </c>
      <c r="S215" s="422">
        <f t="shared" ref="S215:S227" si="23">IF(R216&gt;=$B$1,Q215,(R216*Q215)/100)</f>
        <v>233.33333333333331</v>
      </c>
      <c r="T215" s="422">
        <f>Tabela317[[#This Row],[META 2024]]*0.65</f>
        <v>152.95910499999999</v>
      </c>
      <c r="U215" s="421">
        <v>235.32169999999999</v>
      </c>
      <c r="V215" s="422">
        <f t="shared" ref="V215:V227" si="24">1-(U215-S215)/(U215-T215)</f>
        <v>0.97585837762073091</v>
      </c>
      <c r="W215" s="422">
        <f t="shared" si="17"/>
        <v>0.97585837762073091</v>
      </c>
    </row>
    <row r="216" spans="1:23">
      <c r="A216" s="456">
        <v>271</v>
      </c>
      <c r="B216" s="457" t="s">
        <v>198</v>
      </c>
      <c r="C216" s="418">
        <v>15</v>
      </c>
      <c r="D216" s="418">
        <v>18</v>
      </c>
      <c r="E216" s="418">
        <v>24</v>
      </c>
      <c r="F216" s="418">
        <v>12</v>
      </c>
      <c r="G216" s="454">
        <f t="shared" si="20"/>
        <v>69</v>
      </c>
      <c r="H216" s="420">
        <v>0.88460000000000005</v>
      </c>
      <c r="I216" s="421">
        <f>Tabela317[[#This Row],[TOTAL ALUNOS ABAIXO DO BASICO]]/Tabela317[[#This Row],[TOTAL DE ALUNOS]]*100</f>
        <v>21.739130434782609</v>
      </c>
      <c r="J216" s="421">
        <f>Tabela317[[#This Row],[Abaixo do Básico]]*1</f>
        <v>21.739130434782609</v>
      </c>
      <c r="K216" s="421">
        <f>Tabela317[[#This Row],[TOTAL ALUNOS DO BASICO]]/Tabela317[[#This Row],[TOTAL DE ALUNOS]]*100</f>
        <v>26.086956521739129</v>
      </c>
      <c r="L216" s="421">
        <f>Tabela317[[#This Row],[Básico]]*2</f>
        <v>52.173913043478258</v>
      </c>
      <c r="M216" s="421">
        <f>Tabela317[[#This Row],[TOTAL ALUNOS ADEQUADO]]/Tabela317[[#This Row],[TOTAL DE ALUNOS]]*100</f>
        <v>34.782608695652172</v>
      </c>
      <c r="N216" s="421">
        <f>Tabela317[[#This Row],[Adequado]]*3</f>
        <v>104.34782608695652</v>
      </c>
      <c r="O216" s="421">
        <f>Tabela317[[#This Row],[TOTAL DE ALUNOS AVANÇADO]]/Tabela317[[#This Row],[TOTAL DE ALUNOS]]*100</f>
        <v>17.391304347826086</v>
      </c>
      <c r="P216" s="421">
        <f>Tabela317[[#This Row],[Avançado]]*4</f>
        <v>69.565217391304344</v>
      </c>
      <c r="Q216" s="421">
        <f t="shared" si="22"/>
        <v>247.82608695652172</v>
      </c>
      <c r="R216" s="455">
        <f>Tabela317[[#This Row],[Participação]]*100</f>
        <v>88.460000000000008</v>
      </c>
      <c r="S216" s="422">
        <f t="shared" si="23"/>
        <v>247.82608695652172</v>
      </c>
      <c r="T216" s="422">
        <f>Tabela317[[#This Row],[META 2024]]*0.65</f>
        <v>164.009885</v>
      </c>
      <c r="U216" s="421">
        <v>252.3229</v>
      </c>
      <c r="V216" s="422">
        <f t="shared" si="24"/>
        <v>0.94908097018906801</v>
      </c>
      <c r="W216" s="422">
        <f t="shared" si="17"/>
        <v>0.94908097018906801</v>
      </c>
    </row>
    <row r="217" spans="1:23">
      <c r="A217" s="456">
        <v>273</v>
      </c>
      <c r="B217" s="457" t="s">
        <v>82</v>
      </c>
      <c r="C217" s="418">
        <v>12</v>
      </c>
      <c r="D217" s="418">
        <v>12</v>
      </c>
      <c r="E217" s="418">
        <v>12</v>
      </c>
      <c r="F217" s="418">
        <v>12</v>
      </c>
      <c r="G217" s="454">
        <f t="shared" si="20"/>
        <v>48</v>
      </c>
      <c r="H217" s="420">
        <v>0.92310000000000003</v>
      </c>
      <c r="I217" s="421">
        <f>Tabela317[[#This Row],[TOTAL ALUNOS ABAIXO DO BASICO]]/Tabela317[[#This Row],[TOTAL DE ALUNOS]]*100</f>
        <v>25</v>
      </c>
      <c r="J217" s="421">
        <f>Tabela317[[#This Row],[Abaixo do Básico]]*1</f>
        <v>25</v>
      </c>
      <c r="K217" s="421">
        <f>Tabela317[[#This Row],[TOTAL ALUNOS DO BASICO]]/Tabela317[[#This Row],[TOTAL DE ALUNOS]]*100</f>
        <v>25</v>
      </c>
      <c r="L217" s="421">
        <f>Tabela317[[#This Row],[Básico]]*2</f>
        <v>50</v>
      </c>
      <c r="M217" s="421">
        <f>Tabela317[[#This Row],[TOTAL ALUNOS ADEQUADO]]/Tabela317[[#This Row],[TOTAL DE ALUNOS]]*100</f>
        <v>25</v>
      </c>
      <c r="N217" s="421">
        <f>Tabela317[[#This Row],[Adequado]]*3</f>
        <v>75</v>
      </c>
      <c r="O217" s="421">
        <f>Tabela317[[#This Row],[TOTAL DE ALUNOS AVANÇADO]]/Tabela317[[#This Row],[TOTAL DE ALUNOS]]*100</f>
        <v>25</v>
      </c>
      <c r="P217" s="421">
        <f>Tabela317[[#This Row],[Avançado]]*4</f>
        <v>100</v>
      </c>
      <c r="Q217" s="421">
        <f t="shared" si="22"/>
        <v>250</v>
      </c>
      <c r="R217" s="455">
        <f>Tabela317[[#This Row],[Participação]]*100</f>
        <v>92.31</v>
      </c>
      <c r="S217" s="422">
        <f t="shared" si="23"/>
        <v>250</v>
      </c>
      <c r="T217" s="422">
        <f>Tabela317[[#This Row],[META 2024]]*0.65</f>
        <v>181.46550500000001</v>
      </c>
      <c r="U217" s="421">
        <v>279.17770000000002</v>
      </c>
      <c r="V217" s="422">
        <f t="shared" si="24"/>
        <v>0.70139141792894932</v>
      </c>
      <c r="W217" s="422">
        <f t="shared" si="17"/>
        <v>0.70139141792894932</v>
      </c>
    </row>
    <row r="218" spans="1:23">
      <c r="A218" s="456">
        <v>274</v>
      </c>
      <c r="B218" s="457" t="s">
        <v>75</v>
      </c>
      <c r="C218" s="418">
        <v>18</v>
      </c>
      <c r="D218" s="418">
        <v>12</v>
      </c>
      <c r="E218" s="418">
        <v>25</v>
      </c>
      <c r="F218" s="418">
        <v>21</v>
      </c>
      <c r="G218" s="454">
        <f t="shared" si="20"/>
        <v>76</v>
      </c>
      <c r="H218" s="420">
        <v>0.98699999999999999</v>
      </c>
      <c r="I218" s="421">
        <f>Tabela317[[#This Row],[TOTAL ALUNOS ABAIXO DO BASICO]]/Tabela317[[#This Row],[TOTAL DE ALUNOS]]*100</f>
        <v>23.684210526315788</v>
      </c>
      <c r="J218" s="421">
        <f>Tabela317[[#This Row],[Abaixo do Básico]]*1</f>
        <v>23.684210526315788</v>
      </c>
      <c r="K218" s="421">
        <f>Tabela317[[#This Row],[TOTAL ALUNOS DO BASICO]]/Tabela317[[#This Row],[TOTAL DE ALUNOS]]*100</f>
        <v>15.789473684210526</v>
      </c>
      <c r="L218" s="421">
        <f>Tabela317[[#This Row],[Básico]]*2</f>
        <v>31.578947368421051</v>
      </c>
      <c r="M218" s="421">
        <f>Tabela317[[#This Row],[TOTAL ALUNOS ADEQUADO]]/Tabela317[[#This Row],[TOTAL DE ALUNOS]]*100</f>
        <v>32.894736842105267</v>
      </c>
      <c r="N218" s="421">
        <f>Tabela317[[#This Row],[Adequado]]*3</f>
        <v>98.684210526315809</v>
      </c>
      <c r="O218" s="421">
        <f>Tabela317[[#This Row],[TOTAL DE ALUNOS AVANÇADO]]/Tabela317[[#This Row],[TOTAL DE ALUNOS]]*100</f>
        <v>27.631578947368425</v>
      </c>
      <c r="P218" s="421">
        <f>Tabela317[[#This Row],[Avançado]]*4</f>
        <v>110.5263157894737</v>
      </c>
      <c r="Q218" s="421">
        <f t="shared" si="22"/>
        <v>264.47368421052636</v>
      </c>
      <c r="R218" s="455">
        <f>Tabela317[[#This Row],[Participação]]*100</f>
        <v>98.7</v>
      </c>
      <c r="S218" s="422">
        <f t="shared" si="23"/>
        <v>264.47368421052636</v>
      </c>
      <c r="T218" s="422">
        <f>Tabela317[[#This Row],[META 2024]]*0.65</f>
        <v>170.99335500000004</v>
      </c>
      <c r="U218" s="421">
        <v>263.06670000000003</v>
      </c>
      <c r="V218" s="422">
        <f t="shared" si="24"/>
        <v>1.0152811240921717</v>
      </c>
      <c r="W218" s="422">
        <f t="shared" si="17"/>
        <v>1</v>
      </c>
    </row>
    <row r="219" spans="1:23">
      <c r="A219" s="456">
        <v>277</v>
      </c>
      <c r="B219" s="457" t="s">
        <v>122</v>
      </c>
      <c r="C219" s="418">
        <v>16</v>
      </c>
      <c r="D219" s="418">
        <v>15</v>
      </c>
      <c r="E219" s="418">
        <v>20</v>
      </c>
      <c r="F219" s="418">
        <v>11</v>
      </c>
      <c r="G219" s="454">
        <f t="shared" si="20"/>
        <v>62</v>
      </c>
      <c r="H219" s="420">
        <v>0.82669999999999999</v>
      </c>
      <c r="I219" s="421">
        <f>Tabela317[[#This Row],[TOTAL ALUNOS ABAIXO DO BASICO]]/Tabela317[[#This Row],[TOTAL DE ALUNOS]]*100</f>
        <v>25.806451612903224</v>
      </c>
      <c r="J219" s="421">
        <f>Tabela317[[#This Row],[Abaixo do Básico]]*1</f>
        <v>25.806451612903224</v>
      </c>
      <c r="K219" s="421">
        <f>Tabela317[[#This Row],[TOTAL ALUNOS DO BASICO]]/Tabela317[[#This Row],[TOTAL DE ALUNOS]]*100</f>
        <v>24.193548387096776</v>
      </c>
      <c r="L219" s="421">
        <f>Tabela317[[#This Row],[Básico]]*2</f>
        <v>48.387096774193552</v>
      </c>
      <c r="M219" s="421">
        <f>Tabela317[[#This Row],[TOTAL ALUNOS ADEQUADO]]/Tabela317[[#This Row],[TOTAL DE ALUNOS]]*100</f>
        <v>32.258064516129032</v>
      </c>
      <c r="N219" s="421">
        <f>Tabela317[[#This Row],[Adequado]]*3</f>
        <v>96.774193548387103</v>
      </c>
      <c r="O219" s="421">
        <f>Tabela317[[#This Row],[TOTAL DE ALUNOS AVANÇADO]]/Tabela317[[#This Row],[TOTAL DE ALUNOS]]*100</f>
        <v>17.741935483870968</v>
      </c>
      <c r="P219" s="421">
        <f>Tabela317[[#This Row],[Avançado]]*4</f>
        <v>70.967741935483872</v>
      </c>
      <c r="Q219" s="421">
        <f t="shared" si="22"/>
        <v>241.93548387096774</v>
      </c>
      <c r="R219" s="455">
        <f>Tabela317[[#This Row],[Participação]]*100</f>
        <v>82.67</v>
      </c>
      <c r="S219" s="422">
        <f t="shared" si="23"/>
        <v>241.93548387096774</v>
      </c>
      <c r="T219" s="422">
        <f>Tabela317[[#This Row],[META 2024]]*0.65</f>
        <v>156.30244500000001</v>
      </c>
      <c r="U219" s="421">
        <v>240.46530000000001</v>
      </c>
      <c r="V219" s="422">
        <f t="shared" si="24"/>
        <v>1.017468322230368</v>
      </c>
      <c r="W219" s="422">
        <f t="shared" si="17"/>
        <v>1</v>
      </c>
    </row>
    <row r="220" spans="1:23">
      <c r="A220" s="456">
        <v>279</v>
      </c>
      <c r="B220" s="457" t="s">
        <v>221</v>
      </c>
      <c r="C220" s="418">
        <v>23</v>
      </c>
      <c r="D220" s="418">
        <v>22</v>
      </c>
      <c r="E220" s="418">
        <v>21</v>
      </c>
      <c r="F220" s="418">
        <v>16</v>
      </c>
      <c r="G220" s="454">
        <f t="shared" si="20"/>
        <v>82</v>
      </c>
      <c r="H220" s="420">
        <v>0.9425</v>
      </c>
      <c r="I220" s="421">
        <f>Tabela317[[#This Row],[TOTAL ALUNOS ABAIXO DO BASICO]]/Tabela317[[#This Row],[TOTAL DE ALUNOS]]*100</f>
        <v>28.04878048780488</v>
      </c>
      <c r="J220" s="421">
        <f>Tabela317[[#This Row],[Abaixo do Básico]]*1</f>
        <v>28.04878048780488</v>
      </c>
      <c r="K220" s="421">
        <f>Tabela317[[#This Row],[TOTAL ALUNOS DO BASICO]]/Tabela317[[#This Row],[TOTAL DE ALUNOS]]*100</f>
        <v>26.829268292682929</v>
      </c>
      <c r="L220" s="421">
        <f>Tabela317[[#This Row],[Básico]]*2</f>
        <v>53.658536585365859</v>
      </c>
      <c r="M220" s="421">
        <f>Tabela317[[#This Row],[TOTAL ALUNOS ADEQUADO]]/Tabela317[[#This Row],[TOTAL DE ALUNOS]]*100</f>
        <v>25.609756097560975</v>
      </c>
      <c r="N220" s="421">
        <f>Tabela317[[#This Row],[Adequado]]*3</f>
        <v>76.829268292682926</v>
      </c>
      <c r="O220" s="421">
        <f>Tabela317[[#This Row],[TOTAL DE ALUNOS AVANÇADO]]/Tabela317[[#This Row],[TOTAL DE ALUNOS]]*100</f>
        <v>19.512195121951219</v>
      </c>
      <c r="P220" s="421">
        <f>Tabela317[[#This Row],[Avançado]]*4</f>
        <v>78.048780487804876</v>
      </c>
      <c r="Q220" s="421">
        <f t="shared" si="22"/>
        <v>236.58536585365857</v>
      </c>
      <c r="R220" s="455">
        <f>Tabela317[[#This Row],[Participação]]*100</f>
        <v>94.25</v>
      </c>
      <c r="S220" s="422">
        <f t="shared" si="23"/>
        <v>236.58536585365857</v>
      </c>
      <c r="T220" s="422">
        <f>Tabela317[[#This Row],[META 2024]]*0.65</f>
        <v>164.93958000000001</v>
      </c>
      <c r="U220" s="421">
        <v>253.75319999999999</v>
      </c>
      <c r="V220" s="422">
        <f t="shared" si="24"/>
        <v>0.80669818270732097</v>
      </c>
      <c r="W220" s="422">
        <f t="shared" si="17"/>
        <v>0.80669818270732097</v>
      </c>
    </row>
    <row r="221" spans="1:23">
      <c r="A221" s="456">
        <v>281</v>
      </c>
      <c r="B221" s="457" t="s">
        <v>12</v>
      </c>
      <c r="C221" s="418">
        <v>23</v>
      </c>
      <c r="D221" s="418">
        <v>16</v>
      </c>
      <c r="E221" s="418">
        <v>15</v>
      </c>
      <c r="F221" s="418">
        <v>5</v>
      </c>
      <c r="G221" s="454">
        <f t="shared" si="20"/>
        <v>59</v>
      </c>
      <c r="H221" s="420">
        <v>0.90769999999999995</v>
      </c>
      <c r="I221" s="421">
        <f>Tabela317[[#This Row],[TOTAL ALUNOS ABAIXO DO BASICO]]/Tabela317[[#This Row],[TOTAL DE ALUNOS]]*100</f>
        <v>38.983050847457626</v>
      </c>
      <c r="J221" s="421">
        <f>Tabela317[[#This Row],[Abaixo do Básico]]*1</f>
        <v>38.983050847457626</v>
      </c>
      <c r="K221" s="421">
        <f>Tabela317[[#This Row],[TOTAL ALUNOS DO BASICO]]/Tabela317[[#This Row],[TOTAL DE ALUNOS]]*100</f>
        <v>27.118644067796609</v>
      </c>
      <c r="L221" s="421">
        <f>Tabela317[[#This Row],[Básico]]*2</f>
        <v>54.237288135593218</v>
      </c>
      <c r="M221" s="421">
        <f>Tabela317[[#This Row],[TOTAL ALUNOS ADEQUADO]]/Tabela317[[#This Row],[TOTAL DE ALUNOS]]*100</f>
        <v>25.423728813559322</v>
      </c>
      <c r="N221" s="421">
        <f>Tabela317[[#This Row],[Adequado]]*3</f>
        <v>76.271186440677965</v>
      </c>
      <c r="O221" s="421">
        <f>Tabela317[[#This Row],[TOTAL DE ALUNOS AVANÇADO]]/Tabela317[[#This Row],[TOTAL DE ALUNOS]]*100</f>
        <v>8.4745762711864394</v>
      </c>
      <c r="P221" s="421">
        <f>Tabela317[[#This Row],[Avançado]]*4</f>
        <v>33.898305084745758</v>
      </c>
      <c r="Q221" s="421">
        <f t="shared" si="22"/>
        <v>203.38983050847457</v>
      </c>
      <c r="R221" s="455">
        <f>Tabela317[[#This Row],[Participação]]*100</f>
        <v>90.77</v>
      </c>
      <c r="S221" s="422">
        <f t="shared" si="23"/>
        <v>203.38983050847457</v>
      </c>
      <c r="T221" s="422">
        <f>Tabela317[[#This Row],[META 2024]]*0.65</f>
        <v>142.20114999999998</v>
      </c>
      <c r="U221" s="421">
        <v>218.77099999999999</v>
      </c>
      <c r="V221" s="422">
        <f t="shared" si="24"/>
        <v>0.79912237660743213</v>
      </c>
      <c r="W221" s="422">
        <f t="shared" si="17"/>
        <v>0.79912237660743213</v>
      </c>
    </row>
    <row r="222" spans="1:23">
      <c r="A222" s="456">
        <v>282</v>
      </c>
      <c r="B222" s="457" t="s">
        <v>56</v>
      </c>
      <c r="C222" s="418">
        <v>41</v>
      </c>
      <c r="D222" s="418">
        <v>35</v>
      </c>
      <c r="E222" s="418">
        <v>34</v>
      </c>
      <c r="F222" s="418">
        <v>20</v>
      </c>
      <c r="G222" s="454">
        <f t="shared" si="20"/>
        <v>130</v>
      </c>
      <c r="H222" s="420">
        <v>0.90280000000000005</v>
      </c>
      <c r="I222" s="421">
        <f>Tabela317[[#This Row],[TOTAL ALUNOS ABAIXO DO BASICO]]/Tabela317[[#This Row],[TOTAL DE ALUNOS]]*100</f>
        <v>31.538461538461537</v>
      </c>
      <c r="J222" s="421">
        <f>Tabela317[[#This Row],[Abaixo do Básico]]*1</f>
        <v>31.538461538461537</v>
      </c>
      <c r="K222" s="421">
        <f>Tabela317[[#This Row],[TOTAL ALUNOS DO BASICO]]/Tabela317[[#This Row],[TOTAL DE ALUNOS]]*100</f>
        <v>26.923076923076923</v>
      </c>
      <c r="L222" s="421">
        <f>Tabela317[[#This Row],[Básico]]*2</f>
        <v>53.846153846153847</v>
      </c>
      <c r="M222" s="421">
        <f>Tabela317[[#This Row],[TOTAL ALUNOS ADEQUADO]]/Tabela317[[#This Row],[TOTAL DE ALUNOS]]*100</f>
        <v>26.153846153846157</v>
      </c>
      <c r="N222" s="421">
        <f>Tabela317[[#This Row],[Adequado]]*3</f>
        <v>78.461538461538467</v>
      </c>
      <c r="O222" s="421">
        <f>Tabela317[[#This Row],[TOTAL DE ALUNOS AVANÇADO]]/Tabela317[[#This Row],[TOTAL DE ALUNOS]]*100</f>
        <v>15.384615384615385</v>
      </c>
      <c r="P222" s="421">
        <f>Tabela317[[#This Row],[Avançado]]*4</f>
        <v>61.53846153846154</v>
      </c>
      <c r="Q222" s="421">
        <f t="shared" si="22"/>
        <v>225.38461538461542</v>
      </c>
      <c r="R222" s="455">
        <f>Tabela317[[#This Row],[Participação]]*100</f>
        <v>90.28</v>
      </c>
      <c r="S222" s="422">
        <f t="shared" si="23"/>
        <v>225.38461538461542</v>
      </c>
      <c r="T222" s="422">
        <f>Tabela317[[#This Row],[META 2024]]*0.65</f>
        <v>146.41211000000001</v>
      </c>
      <c r="U222" s="421">
        <v>225.24940000000001</v>
      </c>
      <c r="V222" s="422">
        <f t="shared" si="24"/>
        <v>1.0017151196421821</v>
      </c>
      <c r="W222" s="422">
        <f t="shared" si="17"/>
        <v>1</v>
      </c>
    </row>
    <row r="223" spans="1:23">
      <c r="A223" s="456">
        <v>285</v>
      </c>
      <c r="B223" s="457" t="s">
        <v>32</v>
      </c>
      <c r="C223" s="418">
        <v>44</v>
      </c>
      <c r="D223" s="418">
        <v>71</v>
      </c>
      <c r="E223" s="418">
        <v>54</v>
      </c>
      <c r="F223" s="418">
        <v>40</v>
      </c>
      <c r="G223" s="454">
        <f t="shared" si="20"/>
        <v>209</v>
      </c>
      <c r="H223" s="420">
        <v>0.91669999999999996</v>
      </c>
      <c r="I223" s="421">
        <f>Tabela317[[#This Row],[TOTAL ALUNOS ABAIXO DO BASICO]]/Tabela317[[#This Row],[TOTAL DE ALUNOS]]*100</f>
        <v>21.052631578947366</v>
      </c>
      <c r="J223" s="421">
        <f>Tabela317[[#This Row],[Abaixo do Básico]]*1</f>
        <v>21.052631578947366</v>
      </c>
      <c r="K223" s="421">
        <f>Tabela317[[#This Row],[TOTAL ALUNOS DO BASICO]]/Tabela317[[#This Row],[TOTAL DE ALUNOS]]*100</f>
        <v>33.971291866028707</v>
      </c>
      <c r="L223" s="421">
        <f>Tabela317[[#This Row],[Básico]]*2</f>
        <v>67.942583732057415</v>
      </c>
      <c r="M223" s="421">
        <f>Tabela317[[#This Row],[TOTAL ALUNOS ADEQUADO]]/Tabela317[[#This Row],[TOTAL DE ALUNOS]]*100</f>
        <v>25.837320574162682</v>
      </c>
      <c r="N223" s="421">
        <f>Tabela317[[#This Row],[Adequado]]*3</f>
        <v>77.511961722488053</v>
      </c>
      <c r="O223" s="421">
        <f>Tabela317[[#This Row],[TOTAL DE ALUNOS AVANÇADO]]/Tabela317[[#This Row],[TOTAL DE ALUNOS]]*100</f>
        <v>19.138755980861244</v>
      </c>
      <c r="P223" s="421">
        <f>Tabela317[[#This Row],[Avançado]]*4</f>
        <v>76.555023923444978</v>
      </c>
      <c r="Q223" s="421">
        <f t="shared" si="22"/>
        <v>243.06220095693783</v>
      </c>
      <c r="R223" s="455">
        <f>Tabela317[[#This Row],[Participação]]*100</f>
        <v>91.67</v>
      </c>
      <c r="S223" s="422">
        <f t="shared" si="23"/>
        <v>243.06220095693783</v>
      </c>
      <c r="T223" s="422">
        <f>Tabela317[[#This Row],[META 2024]]*0.65</f>
        <v>170.50091500000002</v>
      </c>
      <c r="U223" s="421">
        <v>262.3091</v>
      </c>
      <c r="V223" s="422">
        <f t="shared" si="24"/>
        <v>0.79035748236323178</v>
      </c>
      <c r="W223" s="422">
        <f t="shared" si="17"/>
        <v>0.79035748236323178</v>
      </c>
    </row>
    <row r="224" spans="1:23">
      <c r="A224" s="456">
        <v>287</v>
      </c>
      <c r="B224" s="457" t="s">
        <v>103</v>
      </c>
      <c r="C224" s="418">
        <v>8</v>
      </c>
      <c r="D224" s="418">
        <v>7</v>
      </c>
      <c r="E224" s="418">
        <v>9</v>
      </c>
      <c r="F224" s="418">
        <v>7</v>
      </c>
      <c r="G224" s="454">
        <f t="shared" si="20"/>
        <v>31</v>
      </c>
      <c r="H224" s="420">
        <v>0.96879999999999999</v>
      </c>
      <c r="I224" s="421">
        <f>Tabela317[[#This Row],[TOTAL ALUNOS ABAIXO DO BASICO]]/Tabela317[[#This Row],[TOTAL DE ALUNOS]]*100</f>
        <v>25.806451612903224</v>
      </c>
      <c r="J224" s="421">
        <f>Tabela317[[#This Row],[Abaixo do Básico]]*1</f>
        <v>25.806451612903224</v>
      </c>
      <c r="K224" s="421">
        <f>Tabela317[[#This Row],[TOTAL ALUNOS DO BASICO]]/Tabela317[[#This Row],[TOTAL DE ALUNOS]]*100</f>
        <v>22.58064516129032</v>
      </c>
      <c r="L224" s="421">
        <f>Tabela317[[#This Row],[Básico]]*2</f>
        <v>45.161290322580641</v>
      </c>
      <c r="M224" s="421">
        <f>Tabela317[[#This Row],[TOTAL ALUNOS ADEQUADO]]/Tabela317[[#This Row],[TOTAL DE ALUNOS]]*100</f>
        <v>29.032258064516132</v>
      </c>
      <c r="N224" s="421">
        <f>Tabela317[[#This Row],[Adequado]]*3</f>
        <v>87.096774193548399</v>
      </c>
      <c r="O224" s="421">
        <f>Tabela317[[#This Row],[TOTAL DE ALUNOS AVANÇADO]]/Tabela317[[#This Row],[TOTAL DE ALUNOS]]*100</f>
        <v>22.58064516129032</v>
      </c>
      <c r="P224" s="421">
        <f>Tabela317[[#This Row],[Avançado]]*4</f>
        <v>90.322580645161281</v>
      </c>
      <c r="Q224" s="421">
        <f t="shared" si="22"/>
        <v>248.38709677419354</v>
      </c>
      <c r="R224" s="455">
        <f>Tabela317[[#This Row],[Participação]]*100</f>
        <v>96.88</v>
      </c>
      <c r="S224" s="422">
        <f t="shared" si="23"/>
        <v>248.38709677419354</v>
      </c>
      <c r="T224" s="422">
        <f>Tabela317[[#This Row],[META 2024]]*0.65</f>
        <v>182.962975</v>
      </c>
      <c r="U224" s="421">
        <v>281.48149999999998</v>
      </c>
      <c r="V224" s="422">
        <f t="shared" si="24"/>
        <v>0.6640793878531327</v>
      </c>
      <c r="W224" s="422">
        <f t="shared" si="17"/>
        <v>0.6640793878531327</v>
      </c>
    </row>
    <row r="225" spans="1:23">
      <c r="A225" s="456">
        <v>289</v>
      </c>
      <c r="B225" s="457" t="s">
        <v>212</v>
      </c>
      <c r="C225" s="418">
        <v>26</v>
      </c>
      <c r="D225" s="418">
        <v>20</v>
      </c>
      <c r="E225" s="418">
        <v>12</v>
      </c>
      <c r="F225" s="418">
        <v>10</v>
      </c>
      <c r="G225" s="454">
        <f t="shared" si="20"/>
        <v>68</v>
      </c>
      <c r="H225" s="420">
        <v>0.9577</v>
      </c>
      <c r="I225" s="421">
        <f>Tabela317[[#This Row],[TOTAL ALUNOS ABAIXO DO BASICO]]/Tabela317[[#This Row],[TOTAL DE ALUNOS]]*100</f>
        <v>38.235294117647058</v>
      </c>
      <c r="J225" s="421">
        <f>Tabela317[[#This Row],[Abaixo do Básico]]*1</f>
        <v>38.235294117647058</v>
      </c>
      <c r="K225" s="421">
        <f>Tabela317[[#This Row],[TOTAL ALUNOS DO BASICO]]/Tabela317[[#This Row],[TOTAL DE ALUNOS]]*100</f>
        <v>29.411764705882355</v>
      </c>
      <c r="L225" s="421">
        <f>Tabela317[[#This Row],[Básico]]*2</f>
        <v>58.82352941176471</v>
      </c>
      <c r="M225" s="421">
        <f>Tabela317[[#This Row],[TOTAL ALUNOS ADEQUADO]]/Tabela317[[#This Row],[TOTAL DE ALUNOS]]*100</f>
        <v>17.647058823529413</v>
      </c>
      <c r="N225" s="421">
        <f>Tabela317[[#This Row],[Adequado]]*3</f>
        <v>52.941176470588239</v>
      </c>
      <c r="O225" s="421">
        <f>Tabela317[[#This Row],[TOTAL DE ALUNOS AVANÇADO]]/Tabela317[[#This Row],[TOTAL DE ALUNOS]]*100</f>
        <v>14.705882352941178</v>
      </c>
      <c r="P225" s="421">
        <f>Tabela317[[#This Row],[Avançado]]*4</f>
        <v>58.82352941176471</v>
      </c>
      <c r="Q225" s="421">
        <f t="shared" si="22"/>
        <v>208.8235294117647</v>
      </c>
      <c r="R225" s="455">
        <f>Tabela317[[#This Row],[Participação]]*100</f>
        <v>95.77</v>
      </c>
      <c r="S225" s="422">
        <f t="shared" si="23"/>
        <v>208.8235294117647</v>
      </c>
      <c r="T225" s="422">
        <f>Tabela317[[#This Row],[META 2024]]*0.65</f>
        <v>143.67847</v>
      </c>
      <c r="U225" s="421">
        <v>221.0438</v>
      </c>
      <c r="V225" s="422">
        <f t="shared" si="24"/>
        <v>0.84204461367597983</v>
      </c>
      <c r="W225" s="422">
        <f t="shared" si="17"/>
        <v>0.84204461367597983</v>
      </c>
    </row>
    <row r="226" spans="1:23">
      <c r="A226" s="456">
        <v>293</v>
      </c>
      <c r="B226" s="457" t="s">
        <v>17</v>
      </c>
      <c r="C226" s="418">
        <v>4</v>
      </c>
      <c r="D226" s="418">
        <v>15</v>
      </c>
      <c r="E226" s="418">
        <v>19</v>
      </c>
      <c r="F226" s="418">
        <v>27</v>
      </c>
      <c r="G226" s="454">
        <f t="shared" si="20"/>
        <v>65</v>
      </c>
      <c r="H226" s="420">
        <v>0.83330000000000004</v>
      </c>
      <c r="I226" s="421">
        <f>Tabela317[[#This Row],[TOTAL ALUNOS ABAIXO DO BASICO]]/Tabela317[[#This Row],[TOTAL DE ALUNOS]]*100</f>
        <v>6.1538461538461542</v>
      </c>
      <c r="J226" s="421">
        <f>Tabela317[[#This Row],[Abaixo do Básico]]*1</f>
        <v>6.1538461538461542</v>
      </c>
      <c r="K226" s="421">
        <f>Tabela317[[#This Row],[TOTAL ALUNOS DO BASICO]]/Tabela317[[#This Row],[TOTAL DE ALUNOS]]*100</f>
        <v>23.076923076923077</v>
      </c>
      <c r="L226" s="421">
        <f>Tabela317[[#This Row],[Básico]]*2</f>
        <v>46.153846153846153</v>
      </c>
      <c r="M226" s="421">
        <f>Tabela317[[#This Row],[TOTAL ALUNOS ADEQUADO]]/Tabela317[[#This Row],[TOTAL DE ALUNOS]]*100</f>
        <v>29.230769230769234</v>
      </c>
      <c r="N226" s="421">
        <f>Tabela317[[#This Row],[Adequado]]*3</f>
        <v>87.692307692307708</v>
      </c>
      <c r="O226" s="421">
        <f>Tabela317[[#This Row],[TOTAL DE ALUNOS AVANÇADO]]/Tabela317[[#This Row],[TOTAL DE ALUNOS]]*100</f>
        <v>41.53846153846154</v>
      </c>
      <c r="P226" s="421">
        <f>Tabela317[[#This Row],[Avançado]]*4</f>
        <v>166.15384615384616</v>
      </c>
      <c r="Q226" s="421">
        <f t="shared" si="22"/>
        <v>306.15384615384619</v>
      </c>
      <c r="R226" s="455">
        <f>Tabela317[[#This Row],[Participação]]*100</f>
        <v>83.33</v>
      </c>
      <c r="S226" s="422">
        <f t="shared" si="23"/>
        <v>306.15384615384619</v>
      </c>
      <c r="T226" s="422">
        <f>Tabela317[[#This Row],[META 2024]]*0.65</f>
        <v>185.24044499999999</v>
      </c>
      <c r="U226" s="421">
        <v>284.9853</v>
      </c>
      <c r="V226" s="422">
        <f t="shared" si="24"/>
        <v>1.2122269479848979</v>
      </c>
      <c r="W226" s="422">
        <f t="shared" si="17"/>
        <v>1</v>
      </c>
    </row>
    <row r="227" spans="1:23">
      <c r="A227" s="456">
        <v>295</v>
      </c>
      <c r="B227" s="457" t="s">
        <v>11</v>
      </c>
      <c r="C227" s="418">
        <v>17</v>
      </c>
      <c r="D227" s="418">
        <v>28</v>
      </c>
      <c r="E227" s="418">
        <v>33</v>
      </c>
      <c r="F227" s="418">
        <v>25</v>
      </c>
      <c r="G227" s="454">
        <f t="shared" si="20"/>
        <v>103</v>
      </c>
      <c r="H227" s="420">
        <v>0.86550000000000005</v>
      </c>
      <c r="I227" s="421">
        <f>Tabela317[[#This Row],[TOTAL ALUNOS ABAIXO DO BASICO]]/Tabela317[[#This Row],[TOTAL DE ALUNOS]]*100</f>
        <v>16.50485436893204</v>
      </c>
      <c r="J227" s="421">
        <f>Tabela317[[#This Row],[Abaixo do Básico]]*1</f>
        <v>16.50485436893204</v>
      </c>
      <c r="K227" s="421">
        <f>Tabela317[[#This Row],[TOTAL ALUNOS DO BASICO]]/Tabela317[[#This Row],[TOTAL DE ALUNOS]]*100</f>
        <v>27.184466019417474</v>
      </c>
      <c r="L227" s="421">
        <f>Tabela317[[#This Row],[Básico]]*2</f>
        <v>54.368932038834949</v>
      </c>
      <c r="M227" s="421">
        <f>Tabela317[[#This Row],[TOTAL ALUNOS ADEQUADO]]/Tabela317[[#This Row],[TOTAL DE ALUNOS]]*100</f>
        <v>32.038834951456316</v>
      </c>
      <c r="N227" s="421">
        <f>Tabela317[[#This Row],[Adequado]]*3</f>
        <v>96.116504854368941</v>
      </c>
      <c r="O227" s="421">
        <f>Tabela317[[#This Row],[TOTAL DE ALUNOS AVANÇADO]]/Tabela317[[#This Row],[TOTAL DE ALUNOS]]*100</f>
        <v>24.271844660194176</v>
      </c>
      <c r="P227" s="421">
        <f>Tabela317[[#This Row],[Avançado]]*4</f>
        <v>97.087378640776706</v>
      </c>
      <c r="Q227" s="421">
        <f t="shared" si="22"/>
        <v>264.07766990291265</v>
      </c>
      <c r="R227" s="455">
        <f>Tabela317[[#This Row],[Participação]]*100</f>
        <v>86.550000000000011</v>
      </c>
      <c r="S227" s="422">
        <f t="shared" si="23"/>
        <v>264.07766990291265</v>
      </c>
      <c r="T227" s="422">
        <f>Tabela317[[#This Row],[META 2024]]*0.65</f>
        <v>188.00866500000001</v>
      </c>
      <c r="U227" s="421">
        <v>289.2441</v>
      </c>
      <c r="V227" s="422">
        <f t="shared" si="24"/>
        <v>0.75140690513072461</v>
      </c>
      <c r="W227" s="422">
        <f t="shared" si="17"/>
        <v>0.75140690513072461</v>
      </c>
    </row>
    <row r="228" spans="1:23">
      <c r="A228" s="456">
        <v>300</v>
      </c>
      <c r="B228" s="457" t="s">
        <v>223</v>
      </c>
      <c r="C228" s="447" t="s">
        <v>230</v>
      </c>
      <c r="D228" s="447" t="s">
        <v>230</v>
      </c>
      <c r="E228" s="447" t="s">
        <v>230</v>
      </c>
      <c r="F228" s="447" t="s">
        <v>230</v>
      </c>
      <c r="G228" s="447" t="s">
        <v>230</v>
      </c>
      <c r="H228" s="447" t="s">
        <v>230</v>
      </c>
      <c r="I228" s="447" t="s">
        <v>230</v>
      </c>
      <c r="J228" s="447" t="s">
        <v>230</v>
      </c>
      <c r="K228" s="447" t="s">
        <v>230</v>
      </c>
      <c r="L228" s="447" t="s">
        <v>230</v>
      </c>
      <c r="M228" s="447" t="s">
        <v>230</v>
      </c>
      <c r="N228" s="447" t="s">
        <v>230</v>
      </c>
      <c r="O228" s="447" t="s">
        <v>230</v>
      </c>
      <c r="P228" s="447" t="s">
        <v>230</v>
      </c>
      <c r="Q228" s="447" t="s">
        <v>230</v>
      </c>
      <c r="R228" s="447" t="s">
        <v>230</v>
      </c>
      <c r="S228" s="447" t="s">
        <v>230</v>
      </c>
      <c r="T228" s="447" t="s">
        <v>230</v>
      </c>
      <c r="U228" s="447" t="s">
        <v>230</v>
      </c>
      <c r="V228" s="447" t="s">
        <v>230</v>
      </c>
      <c r="W228" s="447"/>
    </row>
    <row r="229" spans="1:23">
      <c r="A229" s="456">
        <v>302</v>
      </c>
      <c r="B229" s="459" t="s">
        <v>229</v>
      </c>
      <c r="C229" s="447" t="s">
        <v>230</v>
      </c>
      <c r="D229" s="447" t="s">
        <v>230</v>
      </c>
      <c r="E229" s="447" t="s">
        <v>230</v>
      </c>
      <c r="F229" s="447" t="s">
        <v>230</v>
      </c>
      <c r="G229" s="447" t="s">
        <v>230</v>
      </c>
      <c r="H229" s="447" t="s">
        <v>230</v>
      </c>
      <c r="I229" s="447" t="s">
        <v>230</v>
      </c>
      <c r="J229" s="447" t="s">
        <v>230</v>
      </c>
      <c r="K229" s="447" t="s">
        <v>230</v>
      </c>
      <c r="L229" s="447" t="s">
        <v>230</v>
      </c>
      <c r="M229" s="447" t="s">
        <v>230</v>
      </c>
      <c r="N229" s="447" t="s">
        <v>230</v>
      </c>
      <c r="O229" s="447" t="s">
        <v>230</v>
      </c>
      <c r="P229" s="447" t="s">
        <v>230</v>
      </c>
      <c r="Q229" s="447" t="s">
        <v>230</v>
      </c>
      <c r="R229" s="447" t="s">
        <v>230</v>
      </c>
      <c r="S229" s="447" t="s">
        <v>230</v>
      </c>
      <c r="T229" s="447" t="s">
        <v>230</v>
      </c>
      <c r="U229" s="447" t="s">
        <v>230</v>
      </c>
      <c r="V229" s="447" t="s">
        <v>230</v>
      </c>
      <c r="W229" s="447"/>
    </row>
    <row r="230" spans="1:23">
      <c r="A230" s="456">
        <v>303</v>
      </c>
      <c r="B230" s="457" t="s">
        <v>569</v>
      </c>
      <c r="C230" s="447" t="s">
        <v>230</v>
      </c>
      <c r="D230" s="447" t="s">
        <v>230</v>
      </c>
      <c r="E230" s="447" t="s">
        <v>230</v>
      </c>
      <c r="F230" s="447" t="s">
        <v>230</v>
      </c>
      <c r="G230" s="447" t="s">
        <v>230</v>
      </c>
      <c r="H230" s="447" t="s">
        <v>230</v>
      </c>
      <c r="I230" s="447" t="s">
        <v>230</v>
      </c>
      <c r="J230" s="447" t="s">
        <v>230</v>
      </c>
      <c r="K230" s="447" t="s">
        <v>230</v>
      </c>
      <c r="L230" s="447" t="s">
        <v>230</v>
      </c>
      <c r="M230" s="447" t="s">
        <v>230</v>
      </c>
      <c r="N230" s="447" t="s">
        <v>230</v>
      </c>
      <c r="O230" s="447" t="s">
        <v>230</v>
      </c>
      <c r="P230" s="447" t="s">
        <v>230</v>
      </c>
      <c r="Q230" s="447" t="s">
        <v>230</v>
      </c>
      <c r="R230" s="447" t="s">
        <v>230</v>
      </c>
      <c r="S230" s="447" t="s">
        <v>230</v>
      </c>
      <c r="T230" s="447" t="s">
        <v>230</v>
      </c>
      <c r="U230" s="447" t="s">
        <v>230</v>
      </c>
      <c r="V230" s="447" t="s">
        <v>230</v>
      </c>
      <c r="W230" s="447"/>
    </row>
    <row r="231" spans="1:23">
      <c r="A231" s="456">
        <v>304</v>
      </c>
      <c r="B231" s="457" t="s">
        <v>232</v>
      </c>
      <c r="C231" s="447" t="s">
        <v>230</v>
      </c>
      <c r="D231" s="447" t="s">
        <v>230</v>
      </c>
      <c r="E231" s="447" t="s">
        <v>230</v>
      </c>
      <c r="F231" s="447" t="s">
        <v>230</v>
      </c>
      <c r="G231" s="447" t="s">
        <v>230</v>
      </c>
      <c r="H231" s="447" t="s">
        <v>230</v>
      </c>
      <c r="I231" s="447" t="s">
        <v>230</v>
      </c>
      <c r="J231" s="447" t="s">
        <v>230</v>
      </c>
      <c r="K231" s="447" t="s">
        <v>230</v>
      </c>
      <c r="L231" s="447" t="s">
        <v>230</v>
      </c>
      <c r="M231" s="447" t="s">
        <v>230</v>
      </c>
      <c r="N231" s="447" t="s">
        <v>230</v>
      </c>
      <c r="O231" s="447" t="s">
        <v>230</v>
      </c>
      <c r="P231" s="447" t="s">
        <v>230</v>
      </c>
      <c r="Q231" s="447" t="s">
        <v>230</v>
      </c>
      <c r="R231" s="447" t="s">
        <v>230</v>
      </c>
      <c r="S231" s="447" t="s">
        <v>230</v>
      </c>
      <c r="T231" s="447" t="s">
        <v>230</v>
      </c>
      <c r="U231" s="447" t="s">
        <v>230</v>
      </c>
      <c r="V231" s="447" t="s">
        <v>230</v>
      </c>
      <c r="W231" s="447"/>
    </row>
    <row r="232" spans="1:23">
      <c r="A232" s="460">
        <v>306</v>
      </c>
      <c r="B232" s="461" t="s">
        <v>570</v>
      </c>
      <c r="C232" s="447" t="s">
        <v>230</v>
      </c>
      <c r="D232" s="447" t="s">
        <v>230</v>
      </c>
      <c r="E232" s="447" t="s">
        <v>230</v>
      </c>
      <c r="F232" s="447" t="s">
        <v>230</v>
      </c>
      <c r="G232" s="447" t="s">
        <v>230</v>
      </c>
      <c r="H232" s="447" t="s">
        <v>230</v>
      </c>
      <c r="I232" s="447" t="s">
        <v>230</v>
      </c>
      <c r="J232" s="447" t="s">
        <v>230</v>
      </c>
      <c r="K232" s="447" t="s">
        <v>230</v>
      </c>
      <c r="L232" s="447" t="s">
        <v>230</v>
      </c>
      <c r="M232" s="447" t="s">
        <v>230</v>
      </c>
      <c r="N232" s="447" t="s">
        <v>230</v>
      </c>
      <c r="O232" s="447" t="s">
        <v>230</v>
      </c>
      <c r="P232" s="447" t="s">
        <v>230</v>
      </c>
      <c r="Q232" s="447" t="s">
        <v>230</v>
      </c>
      <c r="R232" s="447" t="s">
        <v>230</v>
      </c>
      <c r="S232" s="447" t="s">
        <v>230</v>
      </c>
      <c r="T232" s="447" t="s">
        <v>230</v>
      </c>
      <c r="U232" s="447" t="s">
        <v>230</v>
      </c>
      <c r="V232" s="447" t="s">
        <v>230</v>
      </c>
      <c r="W232" s="447"/>
    </row>
  </sheetData>
  <pageMargins left="0.511811024" right="0.511811024" top="0.78740157499999996" bottom="0.78740157499999996" header="0.31496062000000002" footer="0.31496062000000002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I E A A B Q S w M E F A A C A A g A b 2 N I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b 2 N I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9 j S F m / L J 3 d T A E A A A A D A A A T A B w A R m 9 y b X V s Y X M v U 2 V j d G l v b j E u b S C i G A A o o B Q A A A A A A A A A A A A A A A A A A A A A A A A A A A C F k d 9 K w z A U x u 8 L f Y d Q b z Y o w 0 3 x Z u x i C 1 O E T c V V v B i j p O v R h a U n I 0 l l U v p U P o I v Z r K i + 0 M 7 Q + D A + Z L v / P J F w 9 J w i W R W 1 W 7 f 9 3 x P r 5 i C l E R J T J m I J 6 N 4 G k e U k g E R Y H y P 2 H U r 0 Y B t j L d L E B 2 a K w V o X q V a J 1 K u W + 1 i / s A y G A Q n D s G i n F N 3 E 8 0 i r I w u g o h v J B k K A 4 q l M r C e E U s E d C L F U L 9 J l V E p 8 g y j z w 3 o 1 m 5 s W B Q B / f 5 K + b s M Q n K P 5 u a 6 4 + Q y J E X w g j x l K R C 7 x 6 g 5 u i P G i s T A 1 u x O u J f 0 L n u 9 X w H z L A G 1 k + 5 U v q n x n H B c M e c 4 Y h p q r k 3 B M N L t k i F K X S M / S e W k G u X I 2 E F d N b n X a G X 7 L 8 L H 3 C i m i U s K b X 2 G T H 7 Y G P Q + z R k I + 8 F V l L p 1 G n r Y g H I 0 + y D z m p Q P a P Y Y U q W A 7 A i k a q o 9 S S N 7 W J y f a J v / Q Z d t 3 + N 4 j q v / A 1 B L A Q I t A B Q A A g A I A G 9 j S F n N g X o B p A A A A P Y A A A A S A A A A A A A A A A A A A A A A A A A A A A B D b 2 5 m a W c v U G F j a 2 F n Z S 5 4 b W x Q S w E C L Q A U A A I A C A B v Y 0 h Z D 8 r p q 6 Q A A A D p A A A A E w A A A A A A A A A A A A A A A A D w A A A A W 0 N v b n R l b n R f V H l w Z X N d L n h t b F B L A Q I t A B Q A A g A I A G 9 j S F m / L J 3 d T A E A A A A D A A A T A A A A A A A A A A A A A A A A A O E B A A B G b 3 J t d W x h c y 9 T Z W N 0 a W 9 u M S 5 t U E s F B g A A A A A D A A M A w g A A A H o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U L A A A A A A A A s w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i X 0 N h b F 9 M Q l 9 N X 1 R D Q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k z Z j h l Z G R l L W I w Y m U t N D V h Y S 0 4 Y j I 0 L W U w N j V i Y m N i Y T F j N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y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O C 0 z M F Q w M j o x N j o y N C 4 4 M j E z M j E 3 W i I g L z 4 8 R W 5 0 c n k g V H l w Z T 0 i R m l s b E N v b H V t b l R 5 c G V z I i B W Y W x 1 Z T 0 i c 0 F 3 W U Z C U T 0 9 I i A v P j x F b n R y e S B U e X B l P S J G a W x s Q 2 9 s d W 1 u T m F t Z X M i I F Z h b H V l P S J z W y Z x d W 9 0 O 0 P D s 2 R p Z 2 8 m c X V v d D s s J n F 1 b 3 Q 7 V W 5 p Z G F k Z S B k Z S B F b n N p b m 8 m c X V v d D s s J n F 1 b 3 Q 7 T G l u a G E g Z G U g Q m F z Z S A y M D I z J n F 1 b 3 Q 7 L C Z x d W 9 0 O 0 1 l d G E g M j A y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i X 0 N h b F 9 M Q l 9 N X 1 R D Q y 9 B d X R v U m V t b 3 Z l Z E N v b H V t b n M x L n t D w 7 N k a W d v L D B 9 J n F 1 b 3 Q 7 L C Z x d W 9 0 O 1 N l Y 3 R p b 2 4 x L 1 R i X 0 N h b F 9 M Q l 9 N X 1 R D Q y 9 B d X R v U m V t b 3 Z l Z E N v b H V t b n M x L n t V b m l k Y W R l I G R l I E V u c 2 l u b y w x f S Z x d W 9 0 O y w m c X V v d D t T Z W N 0 a W 9 u M S 9 U Y l 9 D Y W x f T E J f T V 9 U Q 0 M v Q X V 0 b 1 J l b W 9 2 Z W R D b 2 x 1 b W 5 z M S 5 7 T G l u a G E g Z G U g Q m F z Z S A y M D I z L D J 9 J n F 1 b 3 Q 7 L C Z x d W 9 0 O 1 N l Y 3 R p b 2 4 x L 1 R i X 0 N h b F 9 M Q l 9 N X 1 R D Q y 9 B d X R v U m V t b 3 Z l Z E N v b H V t b n M x L n t N Z X R h I D I w M j M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G J f Q 2 F s X 0 x C X 0 1 f V E N D L 0 F 1 d G 9 S Z W 1 v d m V k Q 2 9 s d W 1 u c z E u e 0 P D s 2 R p Z 2 8 s M H 0 m c X V v d D s s J n F 1 b 3 Q 7 U 2 V j d G l v b j E v V G J f Q 2 F s X 0 x C X 0 1 f V E N D L 0 F 1 d G 9 S Z W 1 v d m V k Q 2 9 s d W 1 u c z E u e 1 V u a W R h Z G U g Z G U g R W 5 z a W 5 v L D F 9 J n F 1 b 3 Q 7 L C Z x d W 9 0 O 1 N l Y 3 R p b 2 4 x L 1 R i X 0 N h b F 9 M Q l 9 N X 1 R D Q y 9 B d X R v U m V t b 3 Z l Z E N v b H V t b n M x L n t M a W 5 o Y S B k Z S B C Y X N l I D I w M j M s M n 0 m c X V v d D s s J n F 1 b 3 Q 7 U 2 V j d G l v b j E v V G J f Q 2 F s X 0 x C X 0 1 f V E N D L 0 F 1 d G 9 S Z W 1 v d m V k Q 2 9 s d W 1 u c z E u e 0 1 l d G E g M j A y M y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J f Q 2 F s X 0 x C X 0 1 f V E N D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J f Q 2 F s X 0 x C X 0 1 f V E N D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i X 0 N h b F 9 M Q l 9 N X 1 R D Q y 9 P d X R y Y X M l M j B D b 2 x 1 b m F z J T I w U m V t b 3 Z p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J f Q 2 F s X 0 x C X 0 1 f V E N D L 0 N v b H V u Y X M l M j B S Z W 9 y Z G V u Y W R h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6 F 6 2 d 1 h v F T Z f P 4 z 5 L f A z Q A A A A A A I A A A A A A A N m A A D A A A A A E A A A A F a G w n v 6 u K 3 U U i W 6 U V z L z o M A A A A A B I A A A K A A A A A Q A A A A G Q R J H 9 5 E x z m Z A G m O u k r a s V A A A A B L a t G 2 p S f 0 o R h J 4 e J A O V S A Y B u D t r g E e A 6 j b o o v P B M 5 Z B b e D Y m X v X 3 / z t 3 X 5 5 2 u p I v c v 1 Q 8 g C s p Z m r E o A Q c / U v 9 J B a p 6 6 Y B h l 3 Z m C W D J 9 6 8 g R Q A A A A N + u g I 7 6 d 1 9 O E i P j K c o n 2 Q C c Q E w w = = < / D a t a M a s h u p > 
</file>

<file path=customXml/itemProps1.xml><?xml version="1.0" encoding="utf-8"?>
<ds:datastoreItem xmlns:ds="http://schemas.openxmlformats.org/officeDocument/2006/customXml" ds:itemID="{A9CBE599-85EA-4C27-A973-66E1020ACDA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18</vt:i4>
      </vt:variant>
    </vt:vector>
  </HeadingPairs>
  <TitlesOfParts>
    <vt:vector size="18" baseType="lpstr">
      <vt:lpstr>IACM FATEC</vt:lpstr>
      <vt:lpstr>I5-TCC FATEC</vt:lpstr>
      <vt:lpstr>I6 -ARRC FATEC</vt:lpstr>
      <vt:lpstr>I7 - ARE FATEC</vt:lpstr>
      <vt:lpstr>I8 - INOVA FATEC</vt:lpstr>
      <vt:lpstr>IACM ETEC</vt:lpstr>
      <vt:lpstr>I1 - TCC ETEC</vt:lpstr>
      <vt:lpstr>I2 - SARESP MAT.</vt:lpstr>
      <vt:lpstr>I2 - SARESP LP</vt:lpstr>
      <vt:lpstr>I3 - INOVA ETEC</vt:lpstr>
      <vt:lpstr>I4 - IDT ETEC</vt:lpstr>
      <vt:lpstr>I9 ADM CENTRAL - ETEC</vt:lpstr>
      <vt:lpstr>I9 ADM CENTRAL - FATEC</vt:lpstr>
      <vt:lpstr>I9- IACM MÉDIO DAS ETEC FATECS</vt:lpstr>
      <vt:lpstr>I10 - ATUALIZAÇÃO DO CURRICULO </vt:lpstr>
      <vt:lpstr>I11 - FORMAÇÃO CONTINUADA</vt:lpstr>
      <vt:lpstr>I12 - CERTIFICAÇÃO E CAPACITAÇÃ</vt:lpstr>
      <vt:lpstr>IACM ADM CENTRAL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 Renato Alli</dc:creator>
  <cp:keywords/>
  <dc:description/>
  <cp:lastModifiedBy>Vanessa Conceição da Silva</cp:lastModifiedBy>
  <cp:revision/>
  <dcterms:created xsi:type="dcterms:W3CDTF">2023-03-28T13:44:14Z</dcterms:created>
  <dcterms:modified xsi:type="dcterms:W3CDTF">2025-08-07T17:56:04Z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f380b4d-8a71-4241-982c-3816ad3ce8fc_Enabled">
    <vt:lpwstr>true</vt:lpwstr>
  </property>
  <property fmtid="{D5CDD505-2E9C-101B-9397-08002B2CF9AE}" pid="3" name="MSIP_Label_ff380b4d-8a71-4241-982c-3816ad3ce8fc_SetDate">
    <vt:lpwstr>2023-03-28T13:44:25Z</vt:lpwstr>
  </property>
  <property fmtid="{D5CDD505-2E9C-101B-9397-08002B2CF9AE}" pid="4" name="MSIP_Label_ff380b4d-8a71-4241-982c-3816ad3ce8fc_Method">
    <vt:lpwstr>Standard</vt:lpwstr>
  </property>
  <property fmtid="{D5CDD505-2E9C-101B-9397-08002B2CF9AE}" pid="5" name="MSIP_Label_ff380b4d-8a71-4241-982c-3816ad3ce8fc_Name">
    <vt:lpwstr>defa4170-0d19-0005-0004-bc88714345d2</vt:lpwstr>
  </property>
  <property fmtid="{D5CDD505-2E9C-101B-9397-08002B2CF9AE}" pid="6" name="MSIP_Label_ff380b4d-8a71-4241-982c-3816ad3ce8fc_SiteId">
    <vt:lpwstr>eabe64c5-68f5-4a76-8301-9577a679e449</vt:lpwstr>
  </property>
  <property fmtid="{D5CDD505-2E9C-101B-9397-08002B2CF9AE}" pid="7" name="MSIP_Label_ff380b4d-8a71-4241-982c-3816ad3ce8fc_ActionId">
    <vt:lpwstr>47afc792-c135-4e6e-a0cd-c0c2b53ae7b0</vt:lpwstr>
  </property>
  <property fmtid="{D5CDD505-2E9C-101B-9397-08002B2CF9AE}" pid="8" name="MSIP_Label_ff380b4d-8a71-4241-982c-3816ad3ce8fc_ContentBits">
    <vt:lpwstr>0</vt:lpwstr>
  </property>
</Properties>
</file>